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65" windowWidth="10245" windowHeight="7395"/>
  </bookViews>
  <sheets>
    <sheet name="EJECUCION" sheetId="4" r:id="rId1"/>
  </sheets>
  <externalReferences>
    <externalReference r:id="rId2"/>
  </externalReferences>
  <definedNames>
    <definedName name="_xlnm._FilterDatabase" localSheetId="0" hidden="1">EJECUCION!$A$4:$R$304</definedName>
  </definedNames>
  <calcPr calcId="145621"/>
</workbook>
</file>

<file path=xl/calcChain.xml><?xml version="1.0" encoding="utf-8"?>
<calcChain xmlns="http://schemas.openxmlformats.org/spreadsheetml/2006/main">
  <c r="P222" i="4" l="1"/>
  <c r="P268" i="4"/>
  <c r="Q205" i="4" l="1"/>
  <c r="Q202" i="4"/>
  <c r="Q201" i="4"/>
  <c r="Q200" i="4"/>
  <c r="Q199" i="4"/>
  <c r="Q197" i="4"/>
  <c r="Q196" i="4"/>
  <c r="Q108" i="4"/>
  <c r="Q159" i="4" l="1"/>
  <c r="Q127" i="4"/>
  <c r="Q125" i="4"/>
  <c r="Q85" i="4"/>
  <c r="Q78" i="4"/>
  <c r="Q70" i="4"/>
  <c r="Q18" i="4"/>
  <c r="I179" i="4"/>
  <c r="L179" i="4" s="1"/>
  <c r="O179" i="4" s="1"/>
  <c r="R179" i="4" s="1"/>
  <c r="F179" i="4"/>
  <c r="S179" i="4" s="1"/>
  <c r="P225" i="4"/>
  <c r="P224" i="4"/>
  <c r="Q225" i="4"/>
  <c r="Q224" i="4"/>
  <c r="Q223" i="4"/>
  <c r="I227" i="4"/>
  <c r="L227" i="4" s="1"/>
  <c r="O227" i="4" s="1"/>
  <c r="R227" i="4" s="1"/>
  <c r="F227" i="4"/>
  <c r="S227" i="4" l="1"/>
  <c r="P72" i="4"/>
  <c r="P298" i="4" l="1"/>
  <c r="P47" i="4" l="1"/>
  <c r="P81" i="4" l="1"/>
  <c r="P152" i="4" l="1"/>
  <c r="P116" i="4"/>
  <c r="H305" i="4" l="1"/>
  <c r="P56" i="4" l="1"/>
  <c r="E211" i="4" l="1"/>
  <c r="Q226" i="4"/>
  <c r="F226" i="4" s="1"/>
  <c r="P226" i="4"/>
  <c r="I226" i="4"/>
  <c r="L226" i="4" s="1"/>
  <c r="O226" i="4" s="1"/>
  <c r="R226" i="4" s="1"/>
  <c r="S226" i="4" l="1"/>
  <c r="P176" i="4"/>
  <c r="P175" i="4"/>
  <c r="P140" i="4"/>
  <c r="P139" i="4"/>
  <c r="P164" i="4"/>
  <c r="P163" i="4"/>
  <c r="P162" i="4"/>
  <c r="P161" i="4"/>
  <c r="P159" i="4"/>
  <c r="P155" i="4"/>
  <c r="P154" i="4"/>
  <c r="P156" i="4"/>
  <c r="P148" i="4"/>
  <c r="P146" i="4"/>
  <c r="P145" i="4"/>
  <c r="P144" i="4"/>
  <c r="P128" i="4"/>
  <c r="P127" i="4"/>
  <c r="P126" i="4"/>
  <c r="P125" i="4"/>
  <c r="P123" i="4"/>
  <c r="P264" i="4"/>
  <c r="P119" i="4"/>
  <c r="P118" i="4"/>
  <c r="P115" i="4"/>
  <c r="P113" i="4"/>
  <c r="P112" i="4"/>
  <c r="P110" i="4"/>
  <c r="P109" i="4"/>
  <c r="P120" i="4"/>
  <c r="P108" i="4"/>
  <c r="P94" i="4"/>
  <c r="P93" i="4"/>
  <c r="P92" i="4"/>
  <c r="P91" i="4"/>
  <c r="P85" i="4"/>
  <c r="P82" i="4"/>
  <c r="P80" i="4"/>
  <c r="P78" i="4"/>
  <c r="P77" i="4"/>
  <c r="P76" i="4"/>
  <c r="P74" i="4"/>
  <c r="P256" i="4"/>
  <c r="P71" i="4"/>
  <c r="P70" i="4"/>
  <c r="P43" i="4"/>
  <c r="P42" i="4"/>
  <c r="P41" i="4"/>
  <c r="P40" i="4"/>
  <c r="P34" i="4"/>
  <c r="P30" i="4"/>
  <c r="P28" i="4"/>
  <c r="P25" i="4"/>
  <c r="P24" i="4"/>
  <c r="P18" i="4"/>
  <c r="P97" i="4"/>
  <c r="P96" i="4"/>
  <c r="P95" i="4"/>
  <c r="P98" i="4"/>
  <c r="P88" i="4"/>
  <c r="P87" i="4"/>
  <c r="P46" i="4"/>
  <c r="P45" i="4"/>
  <c r="P44" i="4"/>
  <c r="P37" i="4"/>
  <c r="P36" i="4"/>
  <c r="P243" i="4"/>
  <c r="M56" i="4" l="1"/>
  <c r="N120" i="4" l="1"/>
  <c r="N108" i="4"/>
  <c r="Q239" i="4" l="1"/>
  <c r="Q238" i="4" s="1"/>
  <c r="P239" i="4"/>
  <c r="P238" i="4" s="1"/>
  <c r="N239" i="4"/>
  <c r="N238" i="4" s="1"/>
  <c r="M239" i="4"/>
  <c r="M238" i="4" s="1"/>
  <c r="K239" i="4"/>
  <c r="K238" i="4" s="1"/>
  <c r="J239" i="4"/>
  <c r="J238" i="4" s="1"/>
  <c r="H239" i="4"/>
  <c r="H238" i="4" s="1"/>
  <c r="G239" i="4"/>
  <c r="G238" i="4" s="1"/>
  <c r="I245" i="4" l="1"/>
  <c r="L245" i="4" s="1"/>
  <c r="F245" i="4"/>
  <c r="Q244" i="4"/>
  <c r="P244" i="4"/>
  <c r="N244" i="4"/>
  <c r="M244" i="4"/>
  <c r="K244" i="4"/>
  <c r="J244" i="4"/>
  <c r="H244" i="4"/>
  <c r="G244" i="4"/>
  <c r="E244" i="4"/>
  <c r="Q229" i="4"/>
  <c r="P229" i="4"/>
  <c r="N229" i="4"/>
  <c r="J229" i="4"/>
  <c r="H229" i="4"/>
  <c r="E229" i="4"/>
  <c r="M237" i="4"/>
  <c r="I237" i="4"/>
  <c r="L237" i="4" s="1"/>
  <c r="F237" i="4"/>
  <c r="E239" i="4"/>
  <c r="F244" i="4" l="1"/>
  <c r="O245" i="4"/>
  <c r="L244" i="4"/>
  <c r="I244" i="4"/>
  <c r="O237" i="4"/>
  <c r="R237" i="4" s="1"/>
  <c r="S237" i="4" s="1"/>
  <c r="R245" i="4" l="1"/>
  <c r="S245" i="4" s="1"/>
  <c r="O244" i="4"/>
  <c r="I242" i="4"/>
  <c r="L242" i="4" s="1"/>
  <c r="O242" i="4" s="1"/>
  <c r="R242" i="4" s="1"/>
  <c r="F242" i="4"/>
  <c r="I241" i="4"/>
  <c r="L241" i="4" s="1"/>
  <c r="O241" i="4" s="1"/>
  <c r="R241" i="4" s="1"/>
  <c r="F241" i="4"/>
  <c r="S241" i="4" s="1"/>
  <c r="S242" i="4" l="1"/>
  <c r="R244" i="4"/>
  <c r="S244" i="4"/>
  <c r="Q8" i="4"/>
  <c r="Q9" i="4"/>
  <c r="P171" i="4" l="1"/>
  <c r="I228" i="4" l="1"/>
  <c r="L228" i="4" s="1"/>
  <c r="O228" i="4" s="1"/>
  <c r="R228" i="4" s="1"/>
  <c r="F228" i="4"/>
  <c r="S228" i="4" s="1"/>
  <c r="I225" i="4"/>
  <c r="L225" i="4" s="1"/>
  <c r="O225" i="4" s="1"/>
  <c r="R225" i="4" s="1"/>
  <c r="F225" i="4"/>
  <c r="I224" i="4"/>
  <c r="L224" i="4" s="1"/>
  <c r="O224" i="4" s="1"/>
  <c r="R224" i="4" s="1"/>
  <c r="F224" i="4"/>
  <c r="S224" i="4" s="1"/>
  <c r="I223" i="4"/>
  <c r="L223" i="4" s="1"/>
  <c r="O223" i="4" s="1"/>
  <c r="R223" i="4" s="1"/>
  <c r="F223" i="4"/>
  <c r="S223" i="4" l="1"/>
  <c r="S225" i="4"/>
  <c r="I222" i="4"/>
  <c r="L222" i="4" s="1"/>
  <c r="O222" i="4" s="1"/>
  <c r="R222" i="4" s="1"/>
  <c r="F222" i="4"/>
  <c r="S222" i="4" s="1"/>
  <c r="Q277" i="4" l="1"/>
  <c r="Q276" i="4" s="1"/>
  <c r="K277" i="4"/>
  <c r="Q296" i="4"/>
  <c r="P296" i="4"/>
  <c r="N296" i="4"/>
  <c r="M296" i="4"/>
  <c r="K296" i="4"/>
  <c r="J296" i="4"/>
  <c r="H296" i="4"/>
  <c r="G296" i="4"/>
  <c r="E296" i="4"/>
  <c r="I298" i="4"/>
  <c r="L298" i="4" s="1"/>
  <c r="O298" i="4" s="1"/>
  <c r="R298" i="4" s="1"/>
  <c r="F298" i="4"/>
  <c r="F297" i="4" l="1"/>
  <c r="S298" i="4"/>
  <c r="I221" i="4"/>
  <c r="L221" i="4" s="1"/>
  <c r="O221" i="4" s="1"/>
  <c r="R221" i="4" s="1"/>
  <c r="F221" i="4"/>
  <c r="Q203" i="4"/>
  <c r="S221" i="4" l="1"/>
  <c r="P86" i="4"/>
  <c r="F2" i="4" l="1"/>
  <c r="F1" i="4"/>
  <c r="P101" i="4" l="1"/>
  <c r="P207" i="4" l="1"/>
  <c r="M268" i="4" l="1"/>
  <c r="N268" i="4"/>
  <c r="M176" i="4" l="1"/>
  <c r="M175" i="4"/>
  <c r="M140" i="4"/>
  <c r="M139" i="4"/>
  <c r="M164" i="4"/>
  <c r="M163" i="4"/>
  <c r="M162" i="4"/>
  <c r="M161" i="4"/>
  <c r="M159" i="4"/>
  <c r="M155" i="4"/>
  <c r="M154" i="4"/>
  <c r="M151" i="4"/>
  <c r="M152" i="4"/>
  <c r="M148" i="4"/>
  <c r="M145" i="4"/>
  <c r="M144" i="4"/>
  <c r="M128" i="4"/>
  <c r="M127" i="4"/>
  <c r="M126" i="4"/>
  <c r="M125" i="4"/>
  <c r="M123" i="4"/>
  <c r="M130" i="4"/>
  <c r="M119" i="4"/>
  <c r="M118" i="4"/>
  <c r="M115" i="4"/>
  <c r="M116" i="4"/>
  <c r="M113" i="4"/>
  <c r="M112" i="4"/>
  <c r="M110" i="4"/>
  <c r="M109" i="4"/>
  <c r="I120" i="4"/>
  <c r="L120" i="4" s="1"/>
  <c r="M108" i="4"/>
  <c r="M94" i="4"/>
  <c r="M93" i="4"/>
  <c r="M92" i="4"/>
  <c r="M91" i="4"/>
  <c r="M85" i="4"/>
  <c r="M82" i="4"/>
  <c r="M81" i="4"/>
  <c r="M80" i="4"/>
  <c r="M78" i="4"/>
  <c r="M77" i="4"/>
  <c r="M76" i="4"/>
  <c r="M74" i="4"/>
  <c r="M72" i="4"/>
  <c r="M71" i="4"/>
  <c r="M70" i="4"/>
  <c r="M43" i="4"/>
  <c r="M42" i="4"/>
  <c r="M41" i="4"/>
  <c r="M40" i="4"/>
  <c r="M34" i="4"/>
  <c r="M30" i="4"/>
  <c r="M28" i="4"/>
  <c r="M25" i="4"/>
  <c r="M24" i="4"/>
  <c r="M18" i="4"/>
  <c r="M97" i="4" l="1"/>
  <c r="M96" i="4"/>
  <c r="M95" i="4"/>
  <c r="M98" i="4"/>
  <c r="M88" i="4"/>
  <c r="M87" i="4"/>
  <c r="M46" i="4"/>
  <c r="M45" i="4"/>
  <c r="M44" i="4"/>
  <c r="M47" i="4"/>
  <c r="M37" i="4"/>
  <c r="M36" i="4"/>
  <c r="N147" i="4"/>
  <c r="O120" i="4"/>
  <c r="R120" i="4" s="1"/>
  <c r="I156" i="4"/>
  <c r="L156" i="4" s="1"/>
  <c r="Q147" i="4"/>
  <c r="P147" i="4"/>
  <c r="M147" i="4"/>
  <c r="H147" i="4"/>
  <c r="Q111" i="4"/>
  <c r="P111" i="4"/>
  <c r="M111" i="4"/>
  <c r="K111" i="4"/>
  <c r="H111" i="4"/>
  <c r="N116" i="4"/>
  <c r="O156" i="4" l="1"/>
  <c r="R156" i="4" s="1"/>
  <c r="N111" i="4"/>
  <c r="F120" i="4"/>
  <c r="S120" i="4" s="1"/>
  <c r="F156" i="4"/>
  <c r="S156" i="4" s="1"/>
  <c r="Q246" i="4"/>
  <c r="P246" i="4"/>
  <c r="N246" i="4"/>
  <c r="K246" i="4"/>
  <c r="I247" i="4"/>
  <c r="I246" i="4" s="1"/>
  <c r="I243" i="4"/>
  <c r="L243" i="4" s="1"/>
  <c r="O243" i="4" s="1"/>
  <c r="R243" i="4" s="1"/>
  <c r="I240" i="4"/>
  <c r="I239" i="4" s="1"/>
  <c r="M246" i="4"/>
  <c r="J246" i="4"/>
  <c r="H246" i="4"/>
  <c r="G246" i="4"/>
  <c r="F247" i="4"/>
  <c r="E246" i="4"/>
  <c r="F246" i="4" l="1"/>
  <c r="I238" i="4"/>
  <c r="L240" i="4"/>
  <c r="L239" i="4" s="1"/>
  <c r="L238" i="4" s="1"/>
  <c r="L247" i="4"/>
  <c r="O240" i="4" l="1"/>
  <c r="O239" i="4" s="1"/>
  <c r="O238" i="4" s="1"/>
  <c r="O247" i="4"/>
  <c r="L246" i="4"/>
  <c r="M31" i="4"/>
  <c r="R240" i="4" l="1"/>
  <c r="O246" i="4"/>
  <c r="R247" i="4"/>
  <c r="S247" i="4" s="1"/>
  <c r="R246" i="4" l="1"/>
  <c r="S246" i="4"/>
  <c r="R239" i="4"/>
  <c r="R238" i="4" s="1"/>
  <c r="M212" i="4"/>
  <c r="K286" i="4" l="1"/>
  <c r="I271" i="4"/>
  <c r="L271" i="4" s="1"/>
  <c r="M171" i="4" l="1"/>
  <c r="F243" i="4" l="1"/>
  <c r="S243" i="4" s="1"/>
  <c r="F240" i="4"/>
  <c r="E238" i="4"/>
  <c r="F239" i="4" l="1"/>
  <c r="S240" i="4"/>
  <c r="S239" i="4" s="1"/>
  <c r="S238" i="4" s="1"/>
  <c r="F238" i="4"/>
  <c r="M166" i="4"/>
  <c r="M79" i="4"/>
  <c r="M73" i="4"/>
  <c r="M27" i="4"/>
  <c r="M26" i="4"/>
  <c r="I266" i="4" l="1"/>
  <c r="L266" i="4" s="1"/>
  <c r="O266" i="4" s="1"/>
  <c r="R266" i="4" s="1"/>
  <c r="I265" i="4"/>
  <c r="L265" i="4" s="1"/>
  <c r="O265" i="4" s="1"/>
  <c r="R265" i="4" s="1"/>
  <c r="I264" i="4"/>
  <c r="L264" i="4" s="1"/>
  <c r="O264" i="4" s="1"/>
  <c r="R264" i="4" s="1"/>
  <c r="F266" i="4"/>
  <c r="S266" i="4" s="1"/>
  <c r="F265" i="4"/>
  <c r="F264" i="4"/>
  <c r="I263" i="4"/>
  <c r="L263" i="4" s="1"/>
  <c r="O263" i="4" s="1"/>
  <c r="R263" i="4" s="1"/>
  <c r="F263" i="4"/>
  <c r="S263" i="4" s="1"/>
  <c r="S264" i="4" l="1"/>
  <c r="S265" i="4"/>
  <c r="M269" i="4"/>
  <c r="M283" i="4"/>
  <c r="F271" i="4" l="1"/>
  <c r="F270" i="4"/>
  <c r="M236" i="4" l="1"/>
  <c r="J212" i="4"/>
  <c r="J162" i="4"/>
  <c r="J176" i="4"/>
  <c r="J175" i="4"/>
  <c r="J140" i="4"/>
  <c r="J139" i="4"/>
  <c r="J82" i="4"/>
  <c r="J80" i="4"/>
  <c r="J98" i="4"/>
  <c r="J97" i="4"/>
  <c r="J96" i="4"/>
  <c r="J95" i="4"/>
  <c r="J88" i="4"/>
  <c r="J87" i="4"/>
  <c r="J56" i="4"/>
  <c r="J46" i="4"/>
  <c r="J45" i="4"/>
  <c r="J44" i="4"/>
  <c r="J47" i="4"/>
  <c r="J37" i="4"/>
  <c r="J36" i="4"/>
  <c r="M135" i="4" l="1"/>
  <c r="J28" i="4" l="1"/>
  <c r="J30" i="4"/>
  <c r="I273" i="4" l="1"/>
  <c r="L273" i="4" s="1"/>
  <c r="O273" i="4" s="1"/>
  <c r="R273" i="4" s="1"/>
  <c r="F273" i="4"/>
  <c r="S273" i="4" s="1"/>
  <c r="N213" i="4"/>
  <c r="N212" i="4"/>
  <c r="I272" i="4" l="1"/>
  <c r="L272" i="4" s="1"/>
  <c r="O272" i="4" s="1"/>
  <c r="R272" i="4" s="1"/>
  <c r="F272" i="4"/>
  <c r="S272" i="4" s="1"/>
  <c r="F220" i="4"/>
  <c r="S220" i="4" s="1"/>
  <c r="I220" i="4"/>
  <c r="L220" i="4" s="1"/>
  <c r="O220" i="4" s="1"/>
  <c r="R220" i="4" s="1"/>
  <c r="K219" i="4"/>
  <c r="F219" i="4" s="1"/>
  <c r="I219" i="4"/>
  <c r="M235" i="4"/>
  <c r="M230" i="4"/>
  <c r="M229" i="4" s="1"/>
  <c r="L219" i="4" l="1"/>
  <c r="O219" i="4" s="1"/>
  <c r="R219" i="4" s="1"/>
  <c r="S219" i="4" s="1"/>
  <c r="N218" i="4"/>
  <c r="J59" i="4" l="1"/>
  <c r="J72" i="4" l="1"/>
  <c r="J70" i="4"/>
  <c r="J164" i="4" l="1"/>
  <c r="J163" i="4"/>
  <c r="J161" i="4"/>
  <c r="J159" i="4"/>
  <c r="J128" i="4"/>
  <c r="J127" i="4"/>
  <c r="J126" i="4"/>
  <c r="J125" i="4"/>
  <c r="J123" i="4"/>
  <c r="J43" i="4"/>
  <c r="J42" i="4"/>
  <c r="J41" i="4"/>
  <c r="J40" i="4"/>
  <c r="J34" i="4"/>
  <c r="J94" i="4"/>
  <c r="J93" i="4"/>
  <c r="J92" i="4"/>
  <c r="J91" i="4"/>
  <c r="J85" i="4"/>
  <c r="J155" i="4"/>
  <c r="J154" i="4"/>
  <c r="J151" i="4"/>
  <c r="J152" i="4"/>
  <c r="J148" i="4"/>
  <c r="J146" i="4"/>
  <c r="J145" i="4"/>
  <c r="J144" i="4"/>
  <c r="J119" i="4"/>
  <c r="J118" i="4"/>
  <c r="J115" i="4"/>
  <c r="J116" i="4"/>
  <c r="J113" i="4"/>
  <c r="J112" i="4"/>
  <c r="J110" i="4"/>
  <c r="J109" i="4"/>
  <c r="J108" i="4"/>
  <c r="J79" i="4"/>
  <c r="J26" i="4"/>
  <c r="J25" i="4"/>
  <c r="J24" i="4"/>
  <c r="J18" i="4"/>
  <c r="J86" i="4"/>
  <c r="J81" i="4"/>
  <c r="G79" i="4"/>
  <c r="J78" i="4"/>
  <c r="J77" i="4"/>
  <c r="J76" i="4"/>
  <c r="J74" i="4"/>
  <c r="J71" i="4"/>
  <c r="J147" i="4" l="1"/>
  <c r="J111" i="4"/>
  <c r="K152" i="4"/>
  <c r="K147" i="4" s="1"/>
  <c r="K108" i="4"/>
  <c r="K70" i="4"/>
  <c r="E267" i="4"/>
  <c r="J2" i="4" s="1"/>
  <c r="K268" i="4"/>
  <c r="O271" i="4"/>
  <c r="R271" i="4" s="1"/>
  <c r="S271" i="4" s="1"/>
  <c r="K230" i="4"/>
  <c r="K235" i="4" l="1"/>
  <c r="K229" i="4" s="1"/>
  <c r="I236" i="4"/>
  <c r="L236" i="4" s="1"/>
  <c r="O236" i="4" s="1"/>
  <c r="R236" i="4" s="1"/>
  <c r="F236" i="4"/>
  <c r="I235" i="4"/>
  <c r="F235" i="4"/>
  <c r="S236" i="4" l="1"/>
  <c r="L235" i="4"/>
  <c r="O235" i="4" s="1"/>
  <c r="R235" i="4" s="1"/>
  <c r="S235" i="4" s="1"/>
  <c r="K279" i="4"/>
  <c r="K278" i="4"/>
  <c r="K285" i="4"/>
  <c r="J188" i="4" l="1"/>
  <c r="J282" i="4" l="1"/>
  <c r="J171" i="4" l="1"/>
  <c r="J73" i="4" l="1"/>
  <c r="P276" i="4" l="1"/>
  <c r="N276" i="4"/>
  <c r="M276" i="4"/>
  <c r="K276" i="4"/>
  <c r="J276" i="4"/>
  <c r="H276" i="4"/>
  <c r="G276" i="4"/>
  <c r="E276" i="4"/>
  <c r="I280" i="4"/>
  <c r="L280" i="4" s="1"/>
  <c r="O280" i="4" s="1"/>
  <c r="R280" i="4" s="1"/>
  <c r="F280" i="4"/>
  <c r="S280" i="4" s="1"/>
  <c r="I234" i="4"/>
  <c r="L234" i="4" s="1"/>
  <c r="I233" i="4"/>
  <c r="F234" i="4"/>
  <c r="F233" i="4"/>
  <c r="K216" i="4"/>
  <c r="L233" i="4" l="1"/>
  <c r="O234" i="4"/>
  <c r="E5" i="4"/>
  <c r="I278" i="4"/>
  <c r="L278" i="4" s="1"/>
  <c r="L299" i="4"/>
  <c r="O233" i="4" l="1"/>
  <c r="R234" i="4"/>
  <c r="S234" i="4" s="1"/>
  <c r="I279" i="4"/>
  <c r="L279" i="4" s="1"/>
  <c r="I277" i="4"/>
  <c r="I269" i="4"/>
  <c r="R233" i="4" l="1"/>
  <c r="S233" i="4" s="1"/>
  <c r="L277" i="4"/>
  <c r="I276" i="4"/>
  <c r="F286" i="4"/>
  <c r="Q287" i="4"/>
  <c r="P287" i="4"/>
  <c r="N287" i="4"/>
  <c r="M287" i="4"/>
  <c r="K287" i="4"/>
  <c r="J287" i="4"/>
  <c r="H287" i="4"/>
  <c r="G287" i="4"/>
  <c r="I297" i="4"/>
  <c r="I295" i="4"/>
  <c r="L295" i="4" s="1"/>
  <c r="O295" i="4" s="1"/>
  <c r="R295" i="4" s="1"/>
  <c r="F296" i="4"/>
  <c r="F295" i="4"/>
  <c r="Q294" i="4"/>
  <c r="P294" i="4"/>
  <c r="N294" i="4"/>
  <c r="M294" i="4"/>
  <c r="K294" i="4"/>
  <c r="J294" i="4"/>
  <c r="H294" i="4"/>
  <c r="G294" i="4"/>
  <c r="E294" i="4"/>
  <c r="I293" i="4"/>
  <c r="I292" i="4" s="1"/>
  <c r="I291" i="4"/>
  <c r="L291" i="4" s="1"/>
  <c r="O291" i="4" s="1"/>
  <c r="R291" i="4" s="1"/>
  <c r="Q292" i="4"/>
  <c r="P292" i="4"/>
  <c r="P290" i="4" s="1"/>
  <c r="N292" i="4"/>
  <c r="N290" i="4" s="1"/>
  <c r="M292" i="4"/>
  <c r="M290" i="4" s="1"/>
  <c r="K292" i="4"/>
  <c r="K290" i="4" s="1"/>
  <c r="J292" i="4"/>
  <c r="J290" i="4" s="1"/>
  <c r="H292" i="4"/>
  <c r="H290" i="4" s="1"/>
  <c r="G292" i="4"/>
  <c r="G290" i="4" s="1"/>
  <c r="Q290" i="4"/>
  <c r="F291" i="4"/>
  <c r="F293" i="4"/>
  <c r="E292" i="4"/>
  <c r="E290" i="4" s="1"/>
  <c r="I286" i="4"/>
  <c r="I285" i="4"/>
  <c r="L285" i="4" s="1"/>
  <c r="I282" i="4"/>
  <c r="L282" i="4" s="1"/>
  <c r="O282" i="4" s="1"/>
  <c r="R282" i="4" s="1"/>
  <c r="F285" i="4"/>
  <c r="F282" i="4"/>
  <c r="Q284" i="4"/>
  <c r="Q281" i="4" s="1"/>
  <c r="P284" i="4"/>
  <c r="P281" i="4" s="1"/>
  <c r="N284" i="4"/>
  <c r="N281" i="4" s="1"/>
  <c r="M284" i="4"/>
  <c r="M281" i="4" s="1"/>
  <c r="K284" i="4"/>
  <c r="K281" i="4" s="1"/>
  <c r="J284" i="4"/>
  <c r="J281" i="4" s="1"/>
  <c r="H284" i="4"/>
  <c r="H281" i="4" s="1"/>
  <c r="G284" i="4"/>
  <c r="G281" i="4" s="1"/>
  <c r="E284" i="4"/>
  <c r="E281" i="4" s="1"/>
  <c r="L275" i="4"/>
  <c r="O275" i="4" s="1"/>
  <c r="F279" i="4"/>
  <c r="F278" i="4"/>
  <c r="F277" i="4"/>
  <c r="F275" i="4"/>
  <c r="Q274" i="4"/>
  <c r="N274" i="4"/>
  <c r="M274" i="4"/>
  <c r="K274" i="4"/>
  <c r="J274" i="4"/>
  <c r="H274" i="4"/>
  <c r="G274" i="4"/>
  <c r="E274" i="4"/>
  <c r="P274" i="4"/>
  <c r="S275" i="4" l="1"/>
  <c r="F292" i="4"/>
  <c r="S282" i="4"/>
  <c r="S295" i="4"/>
  <c r="S291" i="4"/>
  <c r="R275" i="4"/>
  <c r="L297" i="4"/>
  <c r="I296" i="4"/>
  <c r="I294" i="4" s="1"/>
  <c r="L276" i="4"/>
  <c r="O277" i="4"/>
  <c r="L286" i="4"/>
  <c r="O286" i="4" s="1"/>
  <c r="R286" i="4" s="1"/>
  <c r="S286" i="4" s="1"/>
  <c r="F276" i="4"/>
  <c r="F274" i="4" s="1"/>
  <c r="F290" i="4"/>
  <c r="I284" i="4"/>
  <c r="I290" i="4"/>
  <c r="F284" i="4"/>
  <c r="L293" i="4"/>
  <c r="L292" i="4" s="1"/>
  <c r="L290" i="4" s="1"/>
  <c r="O285" i="4"/>
  <c r="F294" i="4"/>
  <c r="Q267" i="4"/>
  <c r="P267" i="4"/>
  <c r="N267" i="4"/>
  <c r="M267" i="4"/>
  <c r="K267" i="4"/>
  <c r="J267" i="4"/>
  <c r="H267" i="4"/>
  <c r="G267" i="4"/>
  <c r="Q252" i="4"/>
  <c r="P252" i="4"/>
  <c r="N252" i="4"/>
  <c r="M252" i="4"/>
  <c r="K252" i="4"/>
  <c r="J252" i="4"/>
  <c r="H252" i="4"/>
  <c r="O297" i="4" l="1"/>
  <c r="L296" i="4"/>
  <c r="L294" i="4" s="1"/>
  <c r="L284" i="4"/>
  <c r="O293" i="4"/>
  <c r="O292" i="4" s="1"/>
  <c r="O290" i="4" s="1"/>
  <c r="R285" i="4"/>
  <c r="S285" i="4" s="1"/>
  <c r="O284" i="4"/>
  <c r="O279" i="4"/>
  <c r="R284" i="4" l="1"/>
  <c r="S284" i="4"/>
  <c r="O296" i="4"/>
  <c r="O294" i="4" s="1"/>
  <c r="R297" i="4"/>
  <c r="R293" i="4"/>
  <c r="S293" i="4" s="1"/>
  <c r="R279" i="4"/>
  <c r="S279" i="4" s="1"/>
  <c r="S297" i="4" l="1"/>
  <c r="S296" i="4" s="1"/>
  <c r="S294" i="4" s="1"/>
  <c r="R292" i="4"/>
  <c r="R290" i="4" s="1"/>
  <c r="S292" i="4"/>
  <c r="S290" i="4" s="1"/>
  <c r="R296" i="4"/>
  <c r="R294" i="4" s="1"/>
  <c r="G41" i="4"/>
  <c r="G82" i="4"/>
  <c r="G43" i="4"/>
  <c r="G212" i="4"/>
  <c r="G56" i="4"/>
  <c r="G101" i="4"/>
  <c r="F283" i="4" l="1"/>
  <c r="I283" i="4"/>
  <c r="I281" i="4" s="1"/>
  <c r="F281" i="4" l="1"/>
  <c r="L283" i="4"/>
  <c r="I218" i="4"/>
  <c r="L218" i="4" s="1"/>
  <c r="O218" i="4" s="1"/>
  <c r="R218" i="4" s="1"/>
  <c r="F218" i="4"/>
  <c r="S218" i="4" l="1"/>
  <c r="O283" i="4"/>
  <c r="L281" i="4"/>
  <c r="R283" i="4" l="1"/>
  <c r="S283" i="4" s="1"/>
  <c r="O281" i="4"/>
  <c r="R281" i="4" l="1"/>
  <c r="S281" i="4"/>
  <c r="G98" i="4"/>
  <c r="G97" i="4"/>
  <c r="G96" i="4"/>
  <c r="G95" i="4"/>
  <c r="G88" i="4"/>
  <c r="G87" i="4"/>
  <c r="G47" i="4"/>
  <c r="G46" i="4"/>
  <c r="G45" i="4"/>
  <c r="G44" i="4"/>
  <c r="G37" i="4"/>
  <c r="G36" i="4"/>
  <c r="G176" i="4"/>
  <c r="G175" i="4"/>
  <c r="G140" i="4"/>
  <c r="G139" i="4"/>
  <c r="G164" i="4"/>
  <c r="G163" i="4"/>
  <c r="G162" i="4"/>
  <c r="G161" i="4"/>
  <c r="G159" i="4"/>
  <c r="G128" i="4"/>
  <c r="G127" i="4"/>
  <c r="G126" i="4"/>
  <c r="G125" i="4"/>
  <c r="G123" i="4"/>
  <c r="G42" i="4"/>
  <c r="G40" i="4"/>
  <c r="G35" i="4"/>
  <c r="G34" i="4"/>
  <c r="G94" i="4"/>
  <c r="G93" i="4"/>
  <c r="G92" i="4"/>
  <c r="G91" i="4"/>
  <c r="G85" i="4"/>
  <c r="G155" i="4"/>
  <c r="G154" i="4"/>
  <c r="G152" i="4"/>
  <c r="G149" i="4"/>
  <c r="G148" i="4"/>
  <c r="G146" i="4"/>
  <c r="G145" i="4"/>
  <c r="G144" i="4"/>
  <c r="G119" i="4"/>
  <c r="G118" i="4"/>
  <c r="G116" i="4"/>
  <c r="G114" i="4"/>
  <c r="G113" i="4"/>
  <c r="G147" i="4" l="1"/>
  <c r="G112" i="4"/>
  <c r="G257" i="4"/>
  <c r="G110" i="4"/>
  <c r="G109" i="4"/>
  <c r="G108" i="4"/>
  <c r="G25" i="4"/>
  <c r="G24" i="4"/>
  <c r="G18" i="4"/>
  <c r="G81" i="4"/>
  <c r="G80" i="4"/>
  <c r="G78" i="4"/>
  <c r="G77" i="4"/>
  <c r="G76" i="4"/>
  <c r="G74" i="4"/>
  <c r="G73" i="4"/>
  <c r="G72" i="4"/>
  <c r="G71" i="4"/>
  <c r="G70" i="4"/>
  <c r="G252" i="4" l="1"/>
  <c r="G111" i="4"/>
  <c r="G230" i="4" l="1"/>
  <c r="G229" i="4" s="1"/>
  <c r="H51" i="4" l="1"/>
  <c r="G130" i="4" l="1"/>
  <c r="G30" i="4"/>
  <c r="G28" i="4"/>
  <c r="G26" i="4"/>
  <c r="I72" i="4" l="1"/>
  <c r="L72" i="4" s="1"/>
  <c r="F203" i="4" l="1"/>
  <c r="G51" i="4" l="1"/>
  <c r="H108" i="4" l="1"/>
  <c r="G86" i="4" l="1"/>
  <c r="G207" i="4" l="1"/>
  <c r="I207" i="4" l="1"/>
  <c r="G193" i="4" l="1"/>
  <c r="I58" i="4" l="1"/>
  <c r="L58" i="4" s="1"/>
  <c r="O58" i="4" s="1"/>
  <c r="R58" i="4" s="1"/>
  <c r="I56" i="4"/>
  <c r="L56" i="4" s="1"/>
  <c r="I54" i="4"/>
  <c r="L54" i="4" s="1"/>
  <c r="O54" i="4" s="1"/>
  <c r="I53" i="4"/>
  <c r="L53" i="4" s="1"/>
  <c r="O53" i="4" s="1"/>
  <c r="R53" i="4" s="1"/>
  <c r="I52" i="4"/>
  <c r="L52" i="4" s="1"/>
  <c r="O52" i="4" s="1"/>
  <c r="R52" i="4" s="1"/>
  <c r="I51" i="4"/>
  <c r="L51" i="4" s="1"/>
  <c r="O51" i="4" s="1"/>
  <c r="I50" i="4"/>
  <c r="L50" i="4" s="1"/>
  <c r="O50" i="4" s="1"/>
  <c r="R50" i="4" s="1"/>
  <c r="I37" i="4"/>
  <c r="L37" i="4" s="1"/>
  <c r="O37" i="4" s="1"/>
  <c r="I31" i="4"/>
  <c r="L31" i="4" s="1"/>
  <c r="I26" i="4"/>
  <c r="L26" i="4" s="1"/>
  <c r="O26" i="4" s="1"/>
  <c r="I25" i="4"/>
  <c r="L25" i="4" s="1"/>
  <c r="O25" i="4" s="1"/>
  <c r="I24" i="4"/>
  <c r="L24" i="4" s="1"/>
  <c r="O24" i="4" s="1"/>
  <c r="I176" i="4"/>
  <c r="L176" i="4" s="1"/>
  <c r="O176" i="4" s="1"/>
  <c r="I178" i="4"/>
  <c r="L178" i="4" s="1"/>
  <c r="O178" i="4" s="1"/>
  <c r="R178" i="4" s="1"/>
  <c r="I180" i="4"/>
  <c r="L180" i="4" s="1"/>
  <c r="O180" i="4" s="1"/>
  <c r="R180" i="4" s="1"/>
  <c r="I185" i="4"/>
  <c r="L185" i="4" s="1"/>
  <c r="O185" i="4" s="1"/>
  <c r="R185" i="4" s="1"/>
  <c r="I186" i="4"/>
  <c r="L186" i="4" s="1"/>
  <c r="O186" i="4" s="1"/>
  <c r="R186" i="4" s="1"/>
  <c r="I188" i="4"/>
  <c r="I190" i="4"/>
  <c r="L190" i="4" s="1"/>
  <c r="O190" i="4" s="1"/>
  <c r="R190" i="4" s="1"/>
  <c r="I192" i="4"/>
  <c r="L192" i="4" s="1"/>
  <c r="O192" i="4" s="1"/>
  <c r="R192" i="4" s="1"/>
  <c r="I193" i="4"/>
  <c r="L193" i="4" s="1"/>
  <c r="O193" i="4" s="1"/>
  <c r="R193" i="4" s="1"/>
  <c r="I194" i="4"/>
  <c r="L194" i="4" s="1"/>
  <c r="O194" i="4" s="1"/>
  <c r="R194" i="4" s="1"/>
  <c r="I195" i="4"/>
  <c r="L195" i="4" s="1"/>
  <c r="O195" i="4" s="1"/>
  <c r="R195" i="4" s="1"/>
  <c r="I196" i="4"/>
  <c r="L196" i="4" s="1"/>
  <c r="O196" i="4" s="1"/>
  <c r="R196" i="4" s="1"/>
  <c r="I197" i="4"/>
  <c r="L197" i="4" s="1"/>
  <c r="O197" i="4" s="1"/>
  <c r="R197" i="4" s="1"/>
  <c r="I199" i="4"/>
  <c r="L199" i="4" s="1"/>
  <c r="I203" i="4"/>
  <c r="L203" i="4" s="1"/>
  <c r="O203" i="4" s="1"/>
  <c r="R203" i="4" s="1"/>
  <c r="S203" i="4" s="1"/>
  <c r="I205" i="4"/>
  <c r="L205" i="4" s="1"/>
  <c r="O205" i="4" s="1"/>
  <c r="R205" i="4" s="1"/>
  <c r="L207" i="4"/>
  <c r="L300" i="4" s="1"/>
  <c r="I209" i="4"/>
  <c r="L209" i="4" s="1"/>
  <c r="O209" i="4" s="1"/>
  <c r="R209" i="4" s="1"/>
  <c r="I212" i="4"/>
  <c r="L212" i="4" s="1"/>
  <c r="I213" i="4"/>
  <c r="L213" i="4" s="1"/>
  <c r="O213" i="4" s="1"/>
  <c r="R213" i="4" s="1"/>
  <c r="I214" i="4"/>
  <c r="L214" i="4" s="1"/>
  <c r="O214" i="4" s="1"/>
  <c r="R214" i="4" s="1"/>
  <c r="I215" i="4"/>
  <c r="L215" i="4" s="1"/>
  <c r="O215" i="4" s="1"/>
  <c r="R215" i="4" s="1"/>
  <c r="I216" i="4"/>
  <c r="L216" i="4" s="1"/>
  <c r="O216" i="4" s="1"/>
  <c r="R216" i="4" s="1"/>
  <c r="I217" i="4"/>
  <c r="L217" i="4" s="1"/>
  <c r="O217" i="4" s="1"/>
  <c r="R217" i="4" s="1"/>
  <c r="I230" i="4"/>
  <c r="I231" i="4"/>
  <c r="L231" i="4" s="1"/>
  <c r="I232" i="4"/>
  <c r="L232" i="4" s="1"/>
  <c r="O232" i="4" s="1"/>
  <c r="R232" i="4" s="1"/>
  <c r="I253" i="4"/>
  <c r="I254" i="4"/>
  <c r="L254" i="4" s="1"/>
  <c r="O254" i="4" s="1"/>
  <c r="R254" i="4" s="1"/>
  <c r="I256" i="4"/>
  <c r="L256" i="4" s="1"/>
  <c r="O256" i="4" s="1"/>
  <c r="R256" i="4" s="1"/>
  <c r="I257" i="4"/>
  <c r="L257" i="4" s="1"/>
  <c r="O257" i="4" s="1"/>
  <c r="R257" i="4" s="1"/>
  <c r="I258" i="4"/>
  <c r="L258" i="4" s="1"/>
  <c r="O258" i="4" s="1"/>
  <c r="R258" i="4" s="1"/>
  <c r="I259" i="4"/>
  <c r="L259" i="4" s="1"/>
  <c r="O259" i="4" s="1"/>
  <c r="R259" i="4" s="1"/>
  <c r="I260" i="4"/>
  <c r="I261" i="4"/>
  <c r="L261" i="4" s="1"/>
  <c r="O261" i="4" s="1"/>
  <c r="R261" i="4" s="1"/>
  <c r="I268" i="4"/>
  <c r="L269" i="4"/>
  <c r="O269" i="4" s="1"/>
  <c r="R269" i="4" s="1"/>
  <c r="I270" i="4"/>
  <c r="L270" i="4" s="1"/>
  <c r="O270" i="4" s="1"/>
  <c r="R270" i="4" s="1"/>
  <c r="S270" i="4" s="1"/>
  <c r="I289" i="4"/>
  <c r="L289" i="4" s="1"/>
  <c r="O289" i="4" s="1"/>
  <c r="R289" i="4" s="1"/>
  <c r="I22" i="4"/>
  <c r="L22" i="4" s="1"/>
  <c r="O22" i="4" s="1"/>
  <c r="I21" i="4"/>
  <c r="L21" i="4" s="1"/>
  <c r="I20" i="4"/>
  <c r="L20" i="4" s="1"/>
  <c r="O20" i="4" s="1"/>
  <c r="R20" i="4" s="1"/>
  <c r="I19" i="4"/>
  <c r="L19" i="4" s="1"/>
  <c r="O19" i="4" s="1"/>
  <c r="R19" i="4" s="1"/>
  <c r="I18" i="4"/>
  <c r="I9" i="4"/>
  <c r="L9" i="4" s="1"/>
  <c r="O9" i="4" s="1"/>
  <c r="R9" i="4" s="1"/>
  <c r="I8" i="4"/>
  <c r="L8" i="4" s="1"/>
  <c r="O8" i="4" s="1"/>
  <c r="R8" i="4" s="1"/>
  <c r="I59" i="4"/>
  <c r="I60" i="4"/>
  <c r="L60" i="4" s="1"/>
  <c r="O60" i="4" s="1"/>
  <c r="R60" i="4" s="1"/>
  <c r="I61" i="4"/>
  <c r="L61" i="4" s="1"/>
  <c r="O61" i="4" s="1"/>
  <c r="R61" i="4" s="1"/>
  <c r="I62" i="4"/>
  <c r="L62" i="4" s="1"/>
  <c r="O62" i="4" s="1"/>
  <c r="R62" i="4" s="1"/>
  <c r="I64" i="4"/>
  <c r="L64" i="4" s="1"/>
  <c r="O64" i="4" s="1"/>
  <c r="R64" i="4" s="1"/>
  <c r="O72" i="4"/>
  <c r="I73" i="4"/>
  <c r="L73" i="4" s="1"/>
  <c r="O73" i="4" s="1"/>
  <c r="I89" i="4"/>
  <c r="L89" i="4" s="1"/>
  <c r="O89" i="4" s="1"/>
  <c r="R89" i="4" s="1"/>
  <c r="I103" i="4"/>
  <c r="L103" i="4" s="1"/>
  <c r="O103" i="4" s="1"/>
  <c r="I115" i="4"/>
  <c r="L115" i="4" s="1"/>
  <c r="O115" i="4" s="1"/>
  <c r="I130" i="4"/>
  <c r="L130" i="4" s="1"/>
  <c r="O130" i="4" s="1"/>
  <c r="I132" i="4"/>
  <c r="L132" i="4" s="1"/>
  <c r="O132" i="4" s="1"/>
  <c r="I137" i="4"/>
  <c r="L137" i="4" s="1"/>
  <c r="O137" i="4" s="1"/>
  <c r="I139" i="4"/>
  <c r="L139" i="4" s="1"/>
  <c r="O139" i="4" s="1"/>
  <c r="I140" i="4"/>
  <c r="L140" i="4" s="1"/>
  <c r="O140" i="4" s="1"/>
  <c r="I151" i="4"/>
  <c r="L151" i="4" s="1"/>
  <c r="O151" i="4" s="1"/>
  <c r="I153" i="4"/>
  <c r="L153" i="4" s="1"/>
  <c r="O153" i="4" s="1"/>
  <c r="R153" i="4" s="1"/>
  <c r="I166" i="4"/>
  <c r="L166" i="4" s="1"/>
  <c r="O166" i="4" s="1"/>
  <c r="I168" i="4"/>
  <c r="L168" i="4" s="1"/>
  <c r="O168" i="4" s="1"/>
  <c r="I171" i="4"/>
  <c r="L171" i="4" s="1"/>
  <c r="I173" i="4"/>
  <c r="L173" i="4" s="1"/>
  <c r="O173" i="4" s="1"/>
  <c r="R173" i="4" s="1"/>
  <c r="I175" i="4"/>
  <c r="L175" i="4" s="1"/>
  <c r="O175" i="4" s="1"/>
  <c r="Q55" i="4"/>
  <c r="P55" i="4"/>
  <c r="N55" i="4"/>
  <c r="M55" i="4"/>
  <c r="K55" i="4"/>
  <c r="J55" i="4"/>
  <c r="H55" i="4"/>
  <c r="G55" i="4"/>
  <c r="F62" i="4"/>
  <c r="S62" i="4" s="1"/>
  <c r="G201" i="4"/>
  <c r="I201" i="4" s="1"/>
  <c r="L201" i="4" s="1"/>
  <c r="O201" i="4" s="1"/>
  <c r="R201" i="4" s="1"/>
  <c r="I229" i="4" l="1"/>
  <c r="R168" i="4"/>
  <c r="R130" i="4"/>
  <c r="O21" i="4"/>
  <c r="R175" i="4"/>
  <c r="R115" i="4"/>
  <c r="R72" i="4"/>
  <c r="R22" i="4"/>
  <c r="R51" i="4"/>
  <c r="R151" i="4"/>
  <c r="R132" i="4"/>
  <c r="R24" i="4"/>
  <c r="R37" i="4"/>
  <c r="R140" i="4"/>
  <c r="R73" i="4"/>
  <c r="R25" i="4"/>
  <c r="R54" i="4"/>
  <c r="R166" i="4"/>
  <c r="R139" i="4"/>
  <c r="R26" i="4"/>
  <c r="R137" i="4"/>
  <c r="R103" i="4"/>
  <c r="R176" i="4"/>
  <c r="L18" i="4"/>
  <c r="O18" i="4" s="1"/>
  <c r="O231" i="4"/>
  <c r="O199" i="4"/>
  <c r="R199" i="4" s="1"/>
  <c r="L188" i="4"/>
  <c r="O188" i="4" s="1"/>
  <c r="R188" i="4" s="1"/>
  <c r="L260" i="4"/>
  <c r="O260" i="4" s="1"/>
  <c r="R260" i="4" s="1"/>
  <c r="L59" i="4"/>
  <c r="O59" i="4" s="1"/>
  <c r="R59" i="4" s="1"/>
  <c r="L230" i="4"/>
  <c r="L229" i="4" s="1"/>
  <c r="O31" i="4"/>
  <c r="O207" i="4"/>
  <c r="R207" i="4" s="1"/>
  <c r="L268" i="4"/>
  <c r="I267" i="4"/>
  <c r="L253" i="4"/>
  <c r="O56" i="4"/>
  <c r="O212" i="4"/>
  <c r="O171" i="4"/>
  <c r="H184" i="4"/>
  <c r="I184" i="4" s="1"/>
  <c r="L184" i="4" s="1"/>
  <c r="O184" i="4" s="1"/>
  <c r="R184" i="4" s="1"/>
  <c r="G182" i="4"/>
  <c r="R31" i="4" l="1"/>
  <c r="R18" i="4"/>
  <c r="R56" i="4"/>
  <c r="R171" i="4"/>
  <c r="R21" i="4"/>
  <c r="R212" i="4"/>
  <c r="R231" i="4"/>
  <c r="O230" i="4"/>
  <c r="O229" i="4" s="1"/>
  <c r="O268" i="4"/>
  <c r="L267" i="4"/>
  <c r="O253" i="4"/>
  <c r="R230" i="4" l="1"/>
  <c r="R268" i="4"/>
  <c r="O267" i="4"/>
  <c r="R253" i="4"/>
  <c r="F289" i="4"/>
  <c r="S289" i="4" s="1"/>
  <c r="F269" i="4"/>
  <c r="S269" i="4" s="1"/>
  <c r="F268" i="4"/>
  <c r="S268" i="4" s="1"/>
  <c r="F261" i="4"/>
  <c r="S261" i="4" s="1"/>
  <c r="F260" i="4"/>
  <c r="S260" i="4" s="1"/>
  <c r="F259" i="4"/>
  <c r="S259" i="4" s="1"/>
  <c r="F258" i="4"/>
  <c r="S258" i="4" s="1"/>
  <c r="F257" i="4"/>
  <c r="S257" i="4" s="1"/>
  <c r="F256" i="4"/>
  <c r="S256" i="4" s="1"/>
  <c r="F254" i="4"/>
  <c r="S254" i="4" s="1"/>
  <c r="F253" i="4"/>
  <c r="F232" i="4"/>
  <c r="S232" i="4" s="1"/>
  <c r="F231" i="4"/>
  <c r="S231" i="4" s="1"/>
  <c r="F230" i="4"/>
  <c r="F217" i="4"/>
  <c r="S217" i="4" s="1"/>
  <c r="F216" i="4"/>
  <c r="S216" i="4" s="1"/>
  <c r="F215" i="4"/>
  <c r="S215" i="4" s="1"/>
  <c r="F214" i="4"/>
  <c r="S214" i="4" s="1"/>
  <c r="F213" i="4"/>
  <c r="S213" i="4" s="1"/>
  <c r="F212" i="4"/>
  <c r="S212" i="4" s="1"/>
  <c r="S211" i="4" s="1"/>
  <c r="F209" i="4"/>
  <c r="S209" i="4" s="1"/>
  <c r="F207" i="4"/>
  <c r="S207" i="4" s="1"/>
  <c r="F205" i="4"/>
  <c r="F201" i="4"/>
  <c r="S201" i="4" s="1"/>
  <c r="F199" i="4"/>
  <c r="S199" i="4" s="1"/>
  <c r="F197" i="4"/>
  <c r="S197" i="4" s="1"/>
  <c r="F196" i="4"/>
  <c r="S196" i="4" s="1"/>
  <c r="F195" i="4"/>
  <c r="S195" i="4" s="1"/>
  <c r="F194" i="4"/>
  <c r="S194" i="4" s="1"/>
  <c r="F193" i="4"/>
  <c r="S193" i="4" s="1"/>
  <c r="F192" i="4"/>
  <c r="S192" i="4" s="1"/>
  <c r="F190" i="4"/>
  <c r="S190" i="4" s="1"/>
  <c r="S189" i="4" s="1"/>
  <c r="F188" i="4"/>
  <c r="S188" i="4" s="1"/>
  <c r="S187" i="4" s="1"/>
  <c r="F186" i="4"/>
  <c r="S186" i="4" s="1"/>
  <c r="F185" i="4"/>
  <c r="S185" i="4" s="1"/>
  <c r="F184" i="4"/>
  <c r="S184" i="4" s="1"/>
  <c r="S183" i="4" s="1"/>
  <c r="F180" i="4"/>
  <c r="S180" i="4" s="1"/>
  <c r="F178" i="4"/>
  <c r="S178" i="4" s="1"/>
  <c r="F176" i="4"/>
  <c r="S176" i="4" s="1"/>
  <c r="F175" i="4"/>
  <c r="S175" i="4" s="1"/>
  <c r="S174" i="4" s="1"/>
  <c r="F173" i="4"/>
  <c r="S173" i="4" s="1"/>
  <c r="S172" i="4" s="1"/>
  <c r="F171" i="4"/>
  <c r="S171" i="4" s="1"/>
  <c r="F168" i="4"/>
  <c r="S168" i="4" s="1"/>
  <c r="S167" i="4" s="1"/>
  <c r="F166" i="4"/>
  <c r="S166" i="4" s="1"/>
  <c r="S165" i="4" s="1"/>
  <c r="F153" i="4"/>
  <c r="S153" i="4" s="1"/>
  <c r="F151" i="4"/>
  <c r="S151" i="4" s="1"/>
  <c r="F140" i="4"/>
  <c r="S140" i="4" s="1"/>
  <c r="F139" i="4"/>
  <c r="S139" i="4" s="1"/>
  <c r="S138" i="4" s="1"/>
  <c r="F137" i="4"/>
  <c r="S137" i="4" s="1"/>
  <c r="S136" i="4" s="1"/>
  <c r="F132" i="4"/>
  <c r="S132" i="4" s="1"/>
  <c r="S131" i="4" s="1"/>
  <c r="F130" i="4"/>
  <c r="S130" i="4" s="1"/>
  <c r="S129" i="4" s="1"/>
  <c r="F115" i="4"/>
  <c r="S115" i="4" s="1"/>
  <c r="F103" i="4"/>
  <c r="F89" i="4"/>
  <c r="S89" i="4" s="1"/>
  <c r="F73" i="4"/>
  <c r="S73" i="4" s="1"/>
  <c r="F72" i="4"/>
  <c r="S72" i="4" s="1"/>
  <c r="F64" i="4"/>
  <c r="S64" i="4" s="1"/>
  <c r="S63" i="4" s="1"/>
  <c r="F61" i="4"/>
  <c r="S61" i="4" s="1"/>
  <c r="F60" i="4"/>
  <c r="S60" i="4" s="1"/>
  <c r="F59" i="4"/>
  <c r="S59" i="4" s="1"/>
  <c r="F58" i="4"/>
  <c r="S58" i="4" s="1"/>
  <c r="F56" i="4"/>
  <c r="S56" i="4" s="1"/>
  <c r="F54" i="4"/>
  <c r="S54" i="4" s="1"/>
  <c r="F53" i="4"/>
  <c r="S53" i="4" s="1"/>
  <c r="F52" i="4"/>
  <c r="S52" i="4" s="1"/>
  <c r="F51" i="4"/>
  <c r="S51" i="4" s="1"/>
  <c r="F50" i="4"/>
  <c r="S50" i="4" s="1"/>
  <c r="F37" i="4"/>
  <c r="S37" i="4" s="1"/>
  <c r="F31" i="4"/>
  <c r="S31" i="4" s="1"/>
  <c r="F26" i="4"/>
  <c r="S26" i="4" s="1"/>
  <c r="F25" i="4"/>
  <c r="S25" i="4" s="1"/>
  <c r="F24" i="4"/>
  <c r="S24" i="4" s="1"/>
  <c r="F22" i="4"/>
  <c r="S22" i="4" s="1"/>
  <c r="F21" i="4"/>
  <c r="S21" i="4" s="1"/>
  <c r="F20" i="4"/>
  <c r="S20" i="4" s="1"/>
  <c r="F19" i="4"/>
  <c r="S19" i="4" s="1"/>
  <c r="F18" i="4"/>
  <c r="S18" i="4" s="1"/>
  <c r="S17" i="4" s="1"/>
  <c r="F9" i="4"/>
  <c r="S9" i="4" s="1"/>
  <c r="F8" i="4"/>
  <c r="S8" i="4" s="1"/>
  <c r="R211" i="4"/>
  <c r="Q211" i="4"/>
  <c r="P211" i="4"/>
  <c r="O211" i="4"/>
  <c r="N211" i="4"/>
  <c r="M211" i="4"/>
  <c r="L211" i="4"/>
  <c r="K211" i="4"/>
  <c r="J211" i="4"/>
  <c r="H211" i="4"/>
  <c r="G211" i="4"/>
  <c r="Q208" i="4"/>
  <c r="Q206" i="4" s="1"/>
  <c r="P208" i="4"/>
  <c r="P206" i="4" s="1"/>
  <c r="N208" i="4"/>
  <c r="N206" i="4" s="1"/>
  <c r="M208" i="4"/>
  <c r="M206" i="4" s="1"/>
  <c r="K208" i="4"/>
  <c r="K206" i="4" s="1"/>
  <c r="J208" i="4"/>
  <c r="J206" i="4" s="1"/>
  <c r="H208" i="4"/>
  <c r="H206" i="4" s="1"/>
  <c r="G208" i="4"/>
  <c r="G206" i="4" s="1"/>
  <c r="R204" i="4"/>
  <c r="Q204" i="4"/>
  <c r="P204" i="4"/>
  <c r="O204" i="4"/>
  <c r="N204" i="4"/>
  <c r="M204" i="4"/>
  <c r="L204" i="4"/>
  <c r="K204" i="4"/>
  <c r="J204" i="4"/>
  <c r="I204" i="4"/>
  <c r="H204" i="4"/>
  <c r="G204" i="4"/>
  <c r="Q198" i="4"/>
  <c r="Q191" i="4" s="1"/>
  <c r="P198" i="4"/>
  <c r="P191" i="4" s="1"/>
  <c r="N198" i="4"/>
  <c r="N191" i="4" s="1"/>
  <c r="M198" i="4"/>
  <c r="M191" i="4" s="1"/>
  <c r="K198" i="4"/>
  <c r="K191" i="4" s="1"/>
  <c r="J198" i="4"/>
  <c r="J191" i="4" s="1"/>
  <c r="H198" i="4"/>
  <c r="H191" i="4" s="1"/>
  <c r="G198" i="4"/>
  <c r="G191" i="4" s="1"/>
  <c r="R189" i="4"/>
  <c r="Q189" i="4"/>
  <c r="P189" i="4"/>
  <c r="O189" i="4"/>
  <c r="N189" i="4"/>
  <c r="M189" i="4"/>
  <c r="L189" i="4"/>
  <c r="K189" i="4"/>
  <c r="J189" i="4"/>
  <c r="H189" i="4"/>
  <c r="G189" i="4"/>
  <c r="R187" i="4"/>
  <c r="Q187" i="4"/>
  <c r="P187" i="4"/>
  <c r="O187" i="4"/>
  <c r="N187" i="4"/>
  <c r="M187" i="4"/>
  <c r="L187" i="4"/>
  <c r="K187" i="4"/>
  <c r="J187" i="4"/>
  <c r="H187" i="4"/>
  <c r="G187" i="4"/>
  <c r="R183" i="4"/>
  <c r="Q183" i="4"/>
  <c r="P183" i="4"/>
  <c r="O183" i="4"/>
  <c r="N183" i="4"/>
  <c r="M183" i="4"/>
  <c r="L183" i="4"/>
  <c r="K183" i="4"/>
  <c r="J183" i="4"/>
  <c r="H183" i="4"/>
  <c r="G183" i="4"/>
  <c r="Q181" i="4"/>
  <c r="P181" i="4"/>
  <c r="N181" i="4"/>
  <c r="M181" i="4"/>
  <c r="K181" i="4"/>
  <c r="J181" i="4"/>
  <c r="G181" i="4"/>
  <c r="R177" i="4"/>
  <c r="Q177" i="4"/>
  <c r="P177" i="4"/>
  <c r="O177" i="4"/>
  <c r="N177" i="4"/>
  <c r="M177" i="4"/>
  <c r="L177" i="4"/>
  <c r="K177" i="4"/>
  <c r="J177" i="4"/>
  <c r="H177" i="4"/>
  <c r="G177" i="4"/>
  <c r="R174" i="4"/>
  <c r="Q174" i="4"/>
  <c r="P174" i="4"/>
  <c r="O174" i="4"/>
  <c r="N174" i="4"/>
  <c r="M174" i="4"/>
  <c r="L174" i="4"/>
  <c r="K174" i="4"/>
  <c r="J174" i="4"/>
  <c r="H174" i="4"/>
  <c r="G174" i="4"/>
  <c r="R172" i="4"/>
  <c r="Q172" i="4"/>
  <c r="P172" i="4"/>
  <c r="O172" i="4"/>
  <c r="N172" i="4"/>
  <c r="M172" i="4"/>
  <c r="L172" i="4"/>
  <c r="K172" i="4"/>
  <c r="J172" i="4"/>
  <c r="H172" i="4"/>
  <c r="G172" i="4"/>
  <c r="Q169" i="4"/>
  <c r="P169" i="4"/>
  <c r="N169" i="4"/>
  <c r="M169" i="4"/>
  <c r="K169" i="4"/>
  <c r="J169" i="4"/>
  <c r="H169" i="4"/>
  <c r="G169" i="4"/>
  <c r="R167" i="4"/>
  <c r="Q167" i="4"/>
  <c r="P167" i="4"/>
  <c r="O167" i="4"/>
  <c r="N167" i="4"/>
  <c r="M167" i="4"/>
  <c r="L167" i="4"/>
  <c r="K167" i="4"/>
  <c r="J167" i="4"/>
  <c r="H167" i="4"/>
  <c r="G167" i="4"/>
  <c r="R165" i="4"/>
  <c r="Q165" i="4"/>
  <c r="P165" i="4"/>
  <c r="O165" i="4"/>
  <c r="N165" i="4"/>
  <c r="M165" i="4"/>
  <c r="L165" i="4"/>
  <c r="K165" i="4"/>
  <c r="J165" i="4"/>
  <c r="H165" i="4"/>
  <c r="G165" i="4"/>
  <c r="Q160" i="4"/>
  <c r="P160" i="4"/>
  <c r="N160" i="4"/>
  <c r="M160" i="4"/>
  <c r="K160" i="4"/>
  <c r="J160" i="4"/>
  <c r="H160" i="4"/>
  <c r="G160" i="4"/>
  <c r="Q158" i="4"/>
  <c r="P158" i="4"/>
  <c r="N158" i="4"/>
  <c r="M158" i="4"/>
  <c r="K158" i="4"/>
  <c r="J158" i="4"/>
  <c r="H158" i="4"/>
  <c r="G158" i="4"/>
  <c r="Q143" i="4"/>
  <c r="P143" i="4"/>
  <c r="N143" i="4"/>
  <c r="M143" i="4"/>
  <c r="K143" i="4"/>
  <c r="J143" i="4"/>
  <c r="H143" i="4"/>
  <c r="G143" i="4"/>
  <c r="R138" i="4"/>
  <c r="Q138" i="4"/>
  <c r="P138" i="4"/>
  <c r="O138" i="4"/>
  <c r="N138" i="4"/>
  <c r="M138" i="4"/>
  <c r="L138" i="4"/>
  <c r="K138" i="4"/>
  <c r="J138" i="4"/>
  <c r="H138" i="4"/>
  <c r="G138" i="4"/>
  <c r="R136" i="4"/>
  <c r="Q136" i="4"/>
  <c r="P136" i="4"/>
  <c r="O136" i="4"/>
  <c r="N136" i="4"/>
  <c r="M136" i="4"/>
  <c r="L136" i="4"/>
  <c r="K136" i="4"/>
  <c r="J136" i="4"/>
  <c r="H136" i="4"/>
  <c r="G136" i="4"/>
  <c r="Q134" i="4"/>
  <c r="Q133" i="4" s="1"/>
  <c r="P134" i="4"/>
  <c r="P133" i="4" s="1"/>
  <c r="N134" i="4"/>
  <c r="N133" i="4" s="1"/>
  <c r="M134" i="4"/>
  <c r="M133" i="4" s="1"/>
  <c r="K134" i="4"/>
  <c r="K133" i="4" s="1"/>
  <c r="J134" i="4"/>
  <c r="J133" i="4" s="1"/>
  <c r="H134" i="4"/>
  <c r="H133" i="4" s="1"/>
  <c r="G134" i="4"/>
  <c r="G133" i="4" s="1"/>
  <c r="R129" i="4"/>
  <c r="Q129" i="4"/>
  <c r="P129" i="4"/>
  <c r="O129" i="4"/>
  <c r="N129" i="4"/>
  <c r="M129" i="4"/>
  <c r="L129" i="4"/>
  <c r="K129" i="4"/>
  <c r="J129" i="4"/>
  <c r="H129" i="4"/>
  <c r="G129" i="4"/>
  <c r="E129" i="4"/>
  <c r="R131" i="4"/>
  <c r="Q131" i="4"/>
  <c r="P131" i="4"/>
  <c r="O131" i="4"/>
  <c r="N131" i="4"/>
  <c r="M131" i="4"/>
  <c r="L131" i="4"/>
  <c r="K131" i="4"/>
  <c r="J131" i="4"/>
  <c r="H131" i="4"/>
  <c r="G131" i="4"/>
  <c r="Q124" i="4"/>
  <c r="P124" i="4"/>
  <c r="N124" i="4"/>
  <c r="M124" i="4"/>
  <c r="K124" i="4"/>
  <c r="J124" i="4"/>
  <c r="H124" i="4"/>
  <c r="G124" i="4"/>
  <c r="Q122" i="4"/>
  <c r="P122" i="4"/>
  <c r="N122" i="4"/>
  <c r="M122" i="4"/>
  <c r="K122" i="4"/>
  <c r="J122" i="4"/>
  <c r="H122" i="4"/>
  <c r="G122" i="4"/>
  <c r="Q107" i="4"/>
  <c r="P107" i="4"/>
  <c r="N107" i="4"/>
  <c r="M107" i="4"/>
  <c r="K107" i="4"/>
  <c r="J107" i="4"/>
  <c r="H107" i="4"/>
  <c r="G107" i="4"/>
  <c r="R102" i="4"/>
  <c r="Q102" i="4"/>
  <c r="P102" i="4"/>
  <c r="O102" i="4"/>
  <c r="N102" i="4"/>
  <c r="M102" i="4"/>
  <c r="L102" i="4"/>
  <c r="K102" i="4"/>
  <c r="J102" i="4"/>
  <c r="H102" i="4"/>
  <c r="G102" i="4"/>
  <c r="Q100" i="4"/>
  <c r="Q99" i="4" s="1"/>
  <c r="P100" i="4"/>
  <c r="P99" i="4" s="1"/>
  <c r="N100" i="4"/>
  <c r="N99" i="4" s="1"/>
  <c r="M100" i="4"/>
  <c r="M99" i="4" s="1"/>
  <c r="K100" i="4"/>
  <c r="K99" i="4" s="1"/>
  <c r="J100" i="4"/>
  <c r="J99" i="4" s="1"/>
  <c r="H100" i="4"/>
  <c r="H99" i="4" s="1"/>
  <c r="G100" i="4"/>
  <c r="G99" i="4" s="1"/>
  <c r="Q90" i="4"/>
  <c r="P90" i="4"/>
  <c r="N90" i="4"/>
  <c r="M90" i="4"/>
  <c r="K90" i="4"/>
  <c r="J90" i="4"/>
  <c r="H90" i="4"/>
  <c r="G90" i="4"/>
  <c r="Q84" i="4"/>
  <c r="P84" i="4"/>
  <c r="N84" i="4"/>
  <c r="M84" i="4"/>
  <c r="K84" i="4"/>
  <c r="J84" i="4"/>
  <c r="H84" i="4"/>
  <c r="G84" i="4"/>
  <c r="Q75" i="4"/>
  <c r="P75" i="4"/>
  <c r="N75" i="4"/>
  <c r="M75" i="4"/>
  <c r="K75" i="4"/>
  <c r="J75" i="4"/>
  <c r="H75" i="4"/>
  <c r="G75" i="4"/>
  <c r="Q69" i="4"/>
  <c r="P69" i="4"/>
  <c r="N69" i="4"/>
  <c r="M69" i="4"/>
  <c r="K69" i="4"/>
  <c r="J69" i="4"/>
  <c r="H69" i="4"/>
  <c r="G69" i="4"/>
  <c r="R63" i="4"/>
  <c r="Q63" i="4"/>
  <c r="P63" i="4"/>
  <c r="O63" i="4"/>
  <c r="N63" i="4"/>
  <c r="M63" i="4"/>
  <c r="L63" i="4"/>
  <c r="K63" i="4"/>
  <c r="J63" i="4"/>
  <c r="H63" i="4"/>
  <c r="G63" i="4"/>
  <c r="R49" i="4"/>
  <c r="Q49" i="4"/>
  <c r="P49" i="4"/>
  <c r="O49" i="4"/>
  <c r="N49" i="4"/>
  <c r="M49" i="4"/>
  <c r="L49" i="4"/>
  <c r="K49" i="4"/>
  <c r="J49" i="4"/>
  <c r="H49" i="4"/>
  <c r="G49" i="4"/>
  <c r="Q39" i="4"/>
  <c r="P39" i="4"/>
  <c r="N39" i="4"/>
  <c r="M39" i="4"/>
  <c r="K39" i="4"/>
  <c r="J39" i="4"/>
  <c r="H39" i="4"/>
  <c r="G39" i="4"/>
  <c r="Q33" i="4"/>
  <c r="P33" i="4"/>
  <c r="N33" i="4"/>
  <c r="M33" i="4"/>
  <c r="K33" i="4"/>
  <c r="J33" i="4"/>
  <c r="H33" i="4"/>
  <c r="G33" i="4"/>
  <c r="Q23" i="4"/>
  <c r="P23" i="4"/>
  <c r="N23" i="4"/>
  <c r="M23" i="4"/>
  <c r="K23" i="4"/>
  <c r="J23" i="4"/>
  <c r="H23" i="4"/>
  <c r="G23" i="4"/>
  <c r="R17" i="4"/>
  <c r="Q17" i="4"/>
  <c r="P17" i="4"/>
  <c r="O17" i="4"/>
  <c r="N17" i="4"/>
  <c r="M17" i="4"/>
  <c r="L17" i="4"/>
  <c r="K17" i="4"/>
  <c r="J17" i="4"/>
  <c r="H17" i="4"/>
  <c r="G17" i="4"/>
  <c r="Q7" i="4"/>
  <c r="P7" i="4"/>
  <c r="N7" i="4"/>
  <c r="M7" i="4"/>
  <c r="K7" i="4"/>
  <c r="J7" i="4"/>
  <c r="H7" i="4"/>
  <c r="G7" i="4"/>
  <c r="Q6" i="4"/>
  <c r="P6" i="4"/>
  <c r="N6" i="4"/>
  <c r="M6" i="4"/>
  <c r="K6" i="4"/>
  <c r="J6" i="4"/>
  <c r="H6" i="4"/>
  <c r="G6" i="4"/>
  <c r="Q5" i="4"/>
  <c r="P5" i="4"/>
  <c r="N5" i="4"/>
  <c r="M5" i="4"/>
  <c r="K5" i="4"/>
  <c r="J5" i="4"/>
  <c r="H5" i="4"/>
  <c r="G5" i="4"/>
  <c r="E300" i="4"/>
  <c r="E304" i="4" s="1"/>
  <c r="E288" i="4"/>
  <c r="E262" i="4"/>
  <c r="E255" i="4"/>
  <c r="E210" i="4"/>
  <c r="I210" i="4" s="1"/>
  <c r="L210" i="4" s="1"/>
  <c r="O210" i="4" s="1"/>
  <c r="R210" i="4" s="1"/>
  <c r="E204" i="4"/>
  <c r="E202" i="4"/>
  <c r="I202" i="4" s="1"/>
  <c r="L202" i="4" s="1"/>
  <c r="O202" i="4" s="1"/>
  <c r="R202" i="4" s="1"/>
  <c r="E200" i="4"/>
  <c r="E189" i="4"/>
  <c r="E187" i="4"/>
  <c r="E183" i="4"/>
  <c r="E182" i="4"/>
  <c r="I182" i="4" s="1"/>
  <c r="L182" i="4" s="1"/>
  <c r="O182" i="4" s="1"/>
  <c r="R182" i="4" s="1"/>
  <c r="E177" i="4"/>
  <c r="E174" i="4"/>
  <c r="E172" i="4"/>
  <c r="E170" i="4"/>
  <c r="E167" i="4"/>
  <c r="E165" i="4"/>
  <c r="E164" i="4"/>
  <c r="E163" i="4"/>
  <c r="E162" i="4"/>
  <c r="E161" i="4"/>
  <c r="E159" i="4"/>
  <c r="E155" i="4"/>
  <c r="E154" i="4"/>
  <c r="E152" i="4"/>
  <c r="E150" i="4"/>
  <c r="E149" i="4"/>
  <c r="E148" i="4"/>
  <c r="E146" i="4"/>
  <c r="E145" i="4"/>
  <c r="E144" i="4"/>
  <c r="E138" i="4"/>
  <c r="E136" i="4"/>
  <c r="E135" i="4"/>
  <c r="E131" i="4"/>
  <c r="E128" i="4"/>
  <c r="E127" i="4"/>
  <c r="E126" i="4"/>
  <c r="E125" i="4"/>
  <c r="E123" i="4"/>
  <c r="E119" i="4"/>
  <c r="E118" i="4"/>
  <c r="E117" i="4"/>
  <c r="E116" i="4"/>
  <c r="E114" i="4"/>
  <c r="E113" i="4"/>
  <c r="E112" i="4"/>
  <c r="E110" i="4"/>
  <c r="E109" i="4"/>
  <c r="E108" i="4"/>
  <c r="E102" i="4"/>
  <c r="E101" i="4"/>
  <c r="E98" i="4"/>
  <c r="E97" i="4"/>
  <c r="E96" i="4"/>
  <c r="E95" i="4"/>
  <c r="E94" i="4"/>
  <c r="E93" i="4"/>
  <c r="E92" i="4"/>
  <c r="I92" i="4" s="1"/>
  <c r="L92" i="4" s="1"/>
  <c r="O92" i="4" s="1"/>
  <c r="E91" i="4"/>
  <c r="E88" i="4"/>
  <c r="E87" i="4"/>
  <c r="E86" i="4"/>
  <c r="E85" i="4"/>
  <c r="I85" i="4" s="1"/>
  <c r="L85" i="4" s="1"/>
  <c r="O85" i="4" s="1"/>
  <c r="E82" i="4"/>
  <c r="E81" i="4"/>
  <c r="E80" i="4"/>
  <c r="E79" i="4"/>
  <c r="I79" i="4" s="1"/>
  <c r="L79" i="4" s="1"/>
  <c r="O79" i="4" s="1"/>
  <c r="E78" i="4"/>
  <c r="E77" i="4"/>
  <c r="E76" i="4"/>
  <c r="E74" i="4"/>
  <c r="E71" i="4"/>
  <c r="E70" i="4"/>
  <c r="E63" i="4"/>
  <c r="E57" i="4"/>
  <c r="E49" i="4"/>
  <c r="E47" i="4"/>
  <c r="E46" i="4"/>
  <c r="E45" i="4"/>
  <c r="E43" i="4"/>
  <c r="E42" i="4"/>
  <c r="E41" i="4"/>
  <c r="E40" i="4"/>
  <c r="E38" i="4"/>
  <c r="E36" i="4"/>
  <c r="E35" i="4"/>
  <c r="E34" i="4"/>
  <c r="I34" i="4" s="1"/>
  <c r="L34" i="4" s="1"/>
  <c r="O34" i="4" s="1"/>
  <c r="E30" i="4"/>
  <c r="E29" i="4"/>
  <c r="E17" i="4"/>
  <c r="E7" i="4"/>
  <c r="E6" i="4"/>
  <c r="I102" i="4" l="1"/>
  <c r="S103" i="4"/>
  <c r="S102" i="4" s="1"/>
  <c r="S5" i="4"/>
  <c r="S6" i="4"/>
  <c r="S7" i="4"/>
  <c r="S49" i="4"/>
  <c r="F204" i="4"/>
  <c r="S205" i="4"/>
  <c r="S204" i="4" s="1"/>
  <c r="S253" i="4"/>
  <c r="S177" i="4"/>
  <c r="S230" i="4"/>
  <c r="S229" i="4" s="1"/>
  <c r="S267" i="4"/>
  <c r="R208" i="4"/>
  <c r="R206" i="4" s="1"/>
  <c r="R181" i="4"/>
  <c r="R229" i="4"/>
  <c r="F229" i="4"/>
  <c r="E147" i="4"/>
  <c r="E111" i="4"/>
  <c r="R79" i="4"/>
  <c r="R85" i="4"/>
  <c r="R92" i="4"/>
  <c r="R34" i="4"/>
  <c r="L181" i="4"/>
  <c r="F40" i="4"/>
  <c r="I40" i="4"/>
  <c r="L40" i="4" s="1"/>
  <c r="O40" i="4" s="1"/>
  <c r="E55" i="4"/>
  <c r="E48" i="4" s="1"/>
  <c r="I57" i="4"/>
  <c r="L57" i="4" s="1"/>
  <c r="F74" i="4"/>
  <c r="I74" i="4"/>
  <c r="L74" i="4" s="1"/>
  <c r="O74" i="4" s="1"/>
  <c r="F91" i="4"/>
  <c r="I91" i="4"/>
  <c r="L91" i="4" s="1"/>
  <c r="E100" i="4"/>
  <c r="E99" i="4" s="1"/>
  <c r="I101" i="4"/>
  <c r="L101" i="4" s="1"/>
  <c r="F110" i="4"/>
  <c r="I110" i="4"/>
  <c r="L110" i="4" s="1"/>
  <c r="O110" i="4" s="1"/>
  <c r="E122" i="4"/>
  <c r="I123" i="4"/>
  <c r="L123" i="4" s="1"/>
  <c r="F154" i="4"/>
  <c r="I154" i="4"/>
  <c r="L154" i="4" s="1"/>
  <c r="O154" i="4" s="1"/>
  <c r="F162" i="4"/>
  <c r="I162" i="4"/>
  <c r="L162" i="4" s="1"/>
  <c r="O162" i="4" s="1"/>
  <c r="F41" i="4"/>
  <c r="I41" i="4"/>
  <c r="L41" i="4" s="1"/>
  <c r="O41" i="4" s="1"/>
  <c r="F46" i="4"/>
  <c r="I46" i="4"/>
  <c r="L46" i="4" s="1"/>
  <c r="O46" i="4" s="1"/>
  <c r="F76" i="4"/>
  <c r="I76" i="4"/>
  <c r="L76" i="4" s="1"/>
  <c r="F80" i="4"/>
  <c r="I80" i="4"/>
  <c r="L80" i="4" s="1"/>
  <c r="O80" i="4" s="1"/>
  <c r="F86" i="4"/>
  <c r="I86" i="4"/>
  <c r="L86" i="4" s="1"/>
  <c r="O86" i="4" s="1"/>
  <c r="F255" i="4"/>
  <c r="E252" i="4"/>
  <c r="E251" i="4" s="1"/>
  <c r="I255" i="4"/>
  <c r="F92" i="4"/>
  <c r="F30" i="4"/>
  <c r="I30" i="4"/>
  <c r="L30" i="4" s="1"/>
  <c r="O30" i="4" s="1"/>
  <c r="F38" i="4"/>
  <c r="I38" i="4"/>
  <c r="L38" i="4" s="1"/>
  <c r="O38" i="4" s="1"/>
  <c r="F43" i="4"/>
  <c r="I43" i="4"/>
  <c r="L43" i="4" s="1"/>
  <c r="O43" i="4" s="1"/>
  <c r="F71" i="4"/>
  <c r="I71" i="4"/>
  <c r="L71" i="4" s="1"/>
  <c r="O71" i="4" s="1"/>
  <c r="F78" i="4"/>
  <c r="I78" i="4"/>
  <c r="L78" i="4" s="1"/>
  <c r="O78" i="4" s="1"/>
  <c r="F82" i="4"/>
  <c r="I82" i="4"/>
  <c r="L82" i="4" s="1"/>
  <c r="O82" i="4" s="1"/>
  <c r="F88" i="4"/>
  <c r="I88" i="4"/>
  <c r="L88" i="4" s="1"/>
  <c r="O88" i="4" s="1"/>
  <c r="F94" i="4"/>
  <c r="I94" i="4"/>
  <c r="L94" i="4" s="1"/>
  <c r="O94" i="4" s="1"/>
  <c r="F98" i="4"/>
  <c r="I98" i="4"/>
  <c r="L98" i="4" s="1"/>
  <c r="O98" i="4" s="1"/>
  <c r="F109" i="4"/>
  <c r="I109" i="4"/>
  <c r="L109" i="4" s="1"/>
  <c r="O109" i="4" s="1"/>
  <c r="F114" i="4"/>
  <c r="I114" i="4"/>
  <c r="L114" i="4" s="1"/>
  <c r="O114" i="4" s="1"/>
  <c r="F119" i="4"/>
  <c r="I119" i="4"/>
  <c r="L119" i="4" s="1"/>
  <c r="O119" i="4" s="1"/>
  <c r="F127" i="4"/>
  <c r="I127" i="4"/>
  <c r="L127" i="4" s="1"/>
  <c r="O127" i="4" s="1"/>
  <c r="F146" i="4"/>
  <c r="I146" i="4"/>
  <c r="L146" i="4" s="1"/>
  <c r="O146" i="4" s="1"/>
  <c r="F152" i="4"/>
  <c r="I152" i="4"/>
  <c r="L152" i="4" s="1"/>
  <c r="O152" i="4" s="1"/>
  <c r="F161" i="4"/>
  <c r="I161" i="4"/>
  <c r="L161" i="4" s="1"/>
  <c r="E287" i="4"/>
  <c r="I288" i="4"/>
  <c r="O181" i="4"/>
  <c r="L208" i="4"/>
  <c r="L206" i="4" s="1"/>
  <c r="F79" i="4"/>
  <c r="S79" i="4" s="1"/>
  <c r="F45" i="4"/>
  <c r="I45" i="4"/>
  <c r="L45" i="4" s="1"/>
  <c r="O45" i="4" s="1"/>
  <c r="F95" i="4"/>
  <c r="I95" i="4"/>
  <c r="L95" i="4" s="1"/>
  <c r="O95" i="4" s="1"/>
  <c r="F116" i="4"/>
  <c r="I116" i="4"/>
  <c r="L116" i="4" s="1"/>
  <c r="O116" i="4" s="1"/>
  <c r="F128" i="4"/>
  <c r="I128" i="4"/>
  <c r="L128" i="4" s="1"/>
  <c r="O128" i="4" s="1"/>
  <c r="F148" i="4"/>
  <c r="I148" i="4"/>
  <c r="F34" i="4"/>
  <c r="S34" i="4" s="1"/>
  <c r="F35" i="4"/>
  <c r="I35" i="4"/>
  <c r="L35" i="4" s="1"/>
  <c r="O35" i="4" s="1"/>
  <c r="F96" i="4"/>
  <c r="I96" i="4"/>
  <c r="L96" i="4" s="1"/>
  <c r="O96" i="4" s="1"/>
  <c r="F112" i="4"/>
  <c r="I112" i="4"/>
  <c r="F117" i="4"/>
  <c r="I117" i="4"/>
  <c r="L117" i="4" s="1"/>
  <c r="O117" i="4" s="1"/>
  <c r="F125" i="4"/>
  <c r="I125" i="4"/>
  <c r="L125" i="4" s="1"/>
  <c r="F144" i="4"/>
  <c r="I144" i="4"/>
  <c r="L144" i="4" s="1"/>
  <c r="F149" i="4"/>
  <c r="I149" i="4"/>
  <c r="L149" i="4" s="1"/>
  <c r="O149" i="4" s="1"/>
  <c r="F155" i="4"/>
  <c r="I155" i="4"/>
  <c r="L155" i="4" s="1"/>
  <c r="O155" i="4" s="1"/>
  <c r="F163" i="4"/>
  <c r="I163" i="4"/>
  <c r="L163" i="4" s="1"/>
  <c r="O163" i="4" s="1"/>
  <c r="E169" i="4"/>
  <c r="I170" i="4"/>
  <c r="L170" i="4" s="1"/>
  <c r="E198" i="4"/>
  <c r="E191" i="4" s="1"/>
  <c r="I200" i="4"/>
  <c r="L200" i="4" s="1"/>
  <c r="E44" i="4"/>
  <c r="E39" i="4" s="1"/>
  <c r="I29" i="4"/>
  <c r="L29" i="4" s="1"/>
  <c r="O29" i="4" s="1"/>
  <c r="F36" i="4"/>
  <c r="I36" i="4"/>
  <c r="L36" i="4" s="1"/>
  <c r="O36" i="4" s="1"/>
  <c r="F42" i="4"/>
  <c r="I42" i="4"/>
  <c r="L42" i="4" s="1"/>
  <c r="O42" i="4" s="1"/>
  <c r="F47" i="4"/>
  <c r="I47" i="4"/>
  <c r="L47" i="4" s="1"/>
  <c r="O47" i="4" s="1"/>
  <c r="F70" i="4"/>
  <c r="I70" i="4"/>
  <c r="L70" i="4" s="1"/>
  <c r="F77" i="4"/>
  <c r="I77" i="4"/>
  <c r="L77" i="4" s="1"/>
  <c r="O77" i="4" s="1"/>
  <c r="F81" i="4"/>
  <c r="I81" i="4"/>
  <c r="L81" i="4" s="1"/>
  <c r="O81" i="4" s="1"/>
  <c r="F87" i="4"/>
  <c r="I87" i="4"/>
  <c r="L87" i="4" s="1"/>
  <c r="O87" i="4" s="1"/>
  <c r="F93" i="4"/>
  <c r="I93" i="4"/>
  <c r="L93" i="4" s="1"/>
  <c r="O93" i="4" s="1"/>
  <c r="F97" i="4"/>
  <c r="I97" i="4"/>
  <c r="L97" i="4" s="1"/>
  <c r="O97" i="4" s="1"/>
  <c r="E107" i="4"/>
  <c r="I108" i="4"/>
  <c r="L108" i="4" s="1"/>
  <c r="F113" i="4"/>
  <c r="I113" i="4"/>
  <c r="L113" i="4" s="1"/>
  <c r="O113" i="4" s="1"/>
  <c r="F118" i="4"/>
  <c r="I118" i="4"/>
  <c r="L118" i="4" s="1"/>
  <c r="O118" i="4" s="1"/>
  <c r="F126" i="4"/>
  <c r="I126" i="4"/>
  <c r="L126" i="4" s="1"/>
  <c r="O126" i="4" s="1"/>
  <c r="E134" i="4"/>
  <c r="E133" i="4" s="1"/>
  <c r="I135" i="4"/>
  <c r="L135" i="4" s="1"/>
  <c r="F145" i="4"/>
  <c r="I145" i="4"/>
  <c r="L145" i="4" s="1"/>
  <c r="O145" i="4" s="1"/>
  <c r="F150" i="4"/>
  <c r="I150" i="4"/>
  <c r="L150" i="4" s="1"/>
  <c r="O150" i="4" s="1"/>
  <c r="E158" i="4"/>
  <c r="I159" i="4"/>
  <c r="L159" i="4" s="1"/>
  <c r="F164" i="4"/>
  <c r="I164" i="4"/>
  <c r="L164" i="4" s="1"/>
  <c r="O164" i="4" s="1"/>
  <c r="F262" i="4"/>
  <c r="I262" i="4"/>
  <c r="L262" i="4" s="1"/>
  <c r="O262" i="4" s="1"/>
  <c r="R262" i="4" s="1"/>
  <c r="O208" i="4"/>
  <c r="O206" i="4" s="1"/>
  <c r="R267" i="4"/>
  <c r="F267" i="4"/>
  <c r="N2" i="4" s="1"/>
  <c r="F177" i="4"/>
  <c r="J32" i="4"/>
  <c r="M83" i="4"/>
  <c r="E84" i="4"/>
  <c r="E208" i="4"/>
  <c r="E206" i="4" s="1"/>
  <c r="F57" i="4"/>
  <c r="F202" i="4"/>
  <c r="S202" i="4" s="1"/>
  <c r="N32" i="4"/>
  <c r="F102" i="4"/>
  <c r="E181" i="4"/>
  <c r="F182" i="4"/>
  <c r="S182" i="4" s="1"/>
  <c r="S181" i="4" s="1"/>
  <c r="F200" i="4"/>
  <c r="J106" i="4"/>
  <c r="J142" i="4"/>
  <c r="J251" i="4"/>
  <c r="N251" i="4"/>
  <c r="I174" i="4"/>
  <c r="J121" i="4"/>
  <c r="J16" i="4"/>
  <c r="N16" i="4"/>
  <c r="G32" i="4"/>
  <c r="N48" i="4"/>
  <c r="M68" i="4"/>
  <c r="K83" i="4"/>
  <c r="G251" i="4"/>
  <c r="G250" i="4" s="1"/>
  <c r="I17" i="4"/>
  <c r="I177" i="4"/>
  <c r="I211" i="4"/>
  <c r="J83" i="4"/>
  <c r="N83" i="4"/>
  <c r="N121" i="4"/>
  <c r="P142" i="4"/>
  <c r="J68" i="4"/>
  <c r="N68" i="4"/>
  <c r="G83" i="4"/>
  <c r="H142" i="4"/>
  <c r="K106" i="4"/>
  <c r="M121" i="4"/>
  <c r="K142" i="4"/>
  <c r="M251" i="4"/>
  <c r="M250" i="4" s="1"/>
  <c r="F129" i="4"/>
  <c r="I129" i="4"/>
  <c r="F138" i="4"/>
  <c r="I138" i="4"/>
  <c r="F165" i="4"/>
  <c r="I165" i="4"/>
  <c r="F6" i="4"/>
  <c r="F131" i="4"/>
  <c r="I131" i="4"/>
  <c r="F167" i="4"/>
  <c r="I167" i="4"/>
  <c r="F189" i="4"/>
  <c r="I189" i="4"/>
  <c r="F136" i="4"/>
  <c r="I136" i="4"/>
  <c r="F172" i="4"/>
  <c r="I172" i="4"/>
  <c r="I49" i="4"/>
  <c r="F17" i="4"/>
  <c r="G68" i="4"/>
  <c r="F85" i="4"/>
  <c r="S85" i="4" s="1"/>
  <c r="F159" i="4"/>
  <c r="E124" i="4"/>
  <c r="F7" i="4"/>
  <c r="K32" i="4"/>
  <c r="M142" i="4"/>
  <c r="F29" i="4"/>
  <c r="F101" i="4"/>
  <c r="F135" i="4"/>
  <c r="E143" i="4"/>
  <c r="F123" i="4"/>
  <c r="F210" i="4"/>
  <c r="S210" i="4" s="1"/>
  <c r="S208" i="4" s="1"/>
  <c r="S206" i="4" s="1"/>
  <c r="F288" i="4"/>
  <c r="E33" i="4"/>
  <c r="F5" i="4"/>
  <c r="F108" i="4"/>
  <c r="F170" i="4"/>
  <c r="K121" i="4"/>
  <c r="Q142" i="4"/>
  <c r="F183" i="4"/>
  <c r="I183" i="4"/>
  <c r="M106" i="4"/>
  <c r="Q106" i="4"/>
  <c r="F174" i="4"/>
  <c r="F187" i="4"/>
  <c r="I187" i="4"/>
  <c r="M32" i="4"/>
  <c r="Q32" i="4"/>
  <c r="F63" i="4"/>
  <c r="I63" i="4"/>
  <c r="F211" i="4"/>
  <c r="F49" i="4"/>
  <c r="G16" i="4"/>
  <c r="K48" i="4"/>
  <c r="K68" i="4"/>
  <c r="G121" i="4"/>
  <c r="K157" i="4"/>
  <c r="K251" i="4"/>
  <c r="K250" i="4" s="1"/>
  <c r="Q83" i="4"/>
  <c r="N142" i="4"/>
  <c r="J157" i="4"/>
  <c r="G157" i="4"/>
  <c r="Q251" i="4"/>
  <c r="Q250" i="4" s="1"/>
  <c r="N106" i="4"/>
  <c r="K16" i="4"/>
  <c r="Q68" i="4"/>
  <c r="H106" i="4"/>
  <c r="P106" i="4"/>
  <c r="G106" i="4"/>
  <c r="Q121" i="4"/>
  <c r="N157" i="4"/>
  <c r="M157" i="4"/>
  <c r="G48" i="4"/>
  <c r="G142" i="4"/>
  <c r="M16" i="4"/>
  <c r="J48" i="4"/>
  <c r="H251" i="4"/>
  <c r="H250" i="4" s="1"/>
  <c r="P251" i="4"/>
  <c r="P250" i="4" s="1"/>
  <c r="Q157" i="4"/>
  <c r="H157" i="4"/>
  <c r="P157" i="4"/>
  <c r="H121" i="4"/>
  <c r="P121" i="4"/>
  <c r="H83" i="4"/>
  <c r="P83" i="4"/>
  <c r="H68" i="4"/>
  <c r="P68" i="4"/>
  <c r="M48" i="4"/>
  <c r="E75" i="4"/>
  <c r="E160" i="4"/>
  <c r="E69" i="4"/>
  <c r="Q16" i="4"/>
  <c r="Q48" i="4"/>
  <c r="E28" i="4"/>
  <c r="E90" i="4"/>
  <c r="H48" i="4"/>
  <c r="P48" i="4"/>
  <c r="H32" i="4"/>
  <c r="P32" i="4"/>
  <c r="H16" i="4"/>
  <c r="P16" i="4"/>
  <c r="E27" i="4"/>
  <c r="I27" i="4" s="1"/>
  <c r="L27" i="4" s="1"/>
  <c r="F287" i="4" l="1"/>
  <c r="S45" i="4"/>
  <c r="S47" i="4"/>
  <c r="S35" i="4"/>
  <c r="S30" i="4"/>
  <c r="S74" i="4"/>
  <c r="S42" i="4"/>
  <c r="S117" i="4"/>
  <c r="S96" i="4"/>
  <c r="S119" i="4"/>
  <c r="S109" i="4"/>
  <c r="S71" i="4"/>
  <c r="S38" i="4"/>
  <c r="S154" i="4"/>
  <c r="F198" i="4"/>
  <c r="F191" i="4" s="1"/>
  <c r="N1" i="4" s="1"/>
  <c r="S262" i="4"/>
  <c r="S126" i="4"/>
  <c r="S97" i="4"/>
  <c r="S152" i="4"/>
  <c r="S43" i="4"/>
  <c r="S80" i="4"/>
  <c r="S92" i="4"/>
  <c r="F147" i="4"/>
  <c r="L148" i="4"/>
  <c r="L147" i="4" s="1"/>
  <c r="I147" i="4"/>
  <c r="L112" i="4"/>
  <c r="L111" i="4" s="1"/>
  <c r="I111" i="4"/>
  <c r="F111" i="4"/>
  <c r="R116" i="4"/>
  <c r="S116" i="4" s="1"/>
  <c r="R45" i="4"/>
  <c r="R145" i="4"/>
  <c r="S145" i="4" s="1"/>
  <c r="R126" i="4"/>
  <c r="R113" i="4"/>
  <c r="S113" i="4" s="1"/>
  <c r="R97" i="4"/>
  <c r="R87" i="4"/>
  <c r="S87" i="4" s="1"/>
  <c r="R77" i="4"/>
  <c r="S77" i="4" s="1"/>
  <c r="R47" i="4"/>
  <c r="R36" i="4"/>
  <c r="S36" i="4" s="1"/>
  <c r="R163" i="4"/>
  <c r="S163" i="4" s="1"/>
  <c r="R149" i="4"/>
  <c r="S149" i="4" s="1"/>
  <c r="R35" i="4"/>
  <c r="R152" i="4"/>
  <c r="R127" i="4"/>
  <c r="S127" i="4" s="1"/>
  <c r="R114" i="4"/>
  <c r="S114" i="4" s="1"/>
  <c r="R98" i="4"/>
  <c r="S98" i="4" s="1"/>
  <c r="R88" i="4"/>
  <c r="S88" i="4" s="1"/>
  <c r="R78" i="4"/>
  <c r="S78" i="4" s="1"/>
  <c r="R43" i="4"/>
  <c r="R30" i="4"/>
  <c r="R80" i="4"/>
  <c r="R46" i="4"/>
  <c r="S46" i="4" s="1"/>
  <c r="R162" i="4"/>
  <c r="S162" i="4" s="1"/>
  <c r="R74" i="4"/>
  <c r="R40" i="4"/>
  <c r="S40" i="4" s="1"/>
  <c r="R128" i="4"/>
  <c r="S128" i="4" s="1"/>
  <c r="R95" i="4"/>
  <c r="S95" i="4" s="1"/>
  <c r="R164" i="4"/>
  <c r="S164" i="4" s="1"/>
  <c r="R150" i="4"/>
  <c r="S150" i="4" s="1"/>
  <c r="R118" i="4"/>
  <c r="S118" i="4" s="1"/>
  <c r="R93" i="4"/>
  <c r="S93" i="4" s="1"/>
  <c r="R81" i="4"/>
  <c r="S81" i="4" s="1"/>
  <c r="R42" i="4"/>
  <c r="R29" i="4"/>
  <c r="S29" i="4" s="1"/>
  <c r="R155" i="4"/>
  <c r="S155" i="4" s="1"/>
  <c r="R117" i="4"/>
  <c r="R96" i="4"/>
  <c r="R146" i="4"/>
  <c r="S146" i="4" s="1"/>
  <c r="R119" i="4"/>
  <c r="R109" i="4"/>
  <c r="R94" i="4"/>
  <c r="S94" i="4" s="1"/>
  <c r="R82" i="4"/>
  <c r="S82" i="4" s="1"/>
  <c r="R71" i="4"/>
  <c r="R38" i="4"/>
  <c r="R86" i="4"/>
  <c r="S86" i="4" s="1"/>
  <c r="R41" i="4"/>
  <c r="S41" i="4" s="1"/>
  <c r="R154" i="4"/>
  <c r="R110" i="4"/>
  <c r="S110" i="4" s="1"/>
  <c r="I169" i="4"/>
  <c r="E68" i="4"/>
  <c r="I69" i="4"/>
  <c r="I44" i="4"/>
  <c r="L44" i="4" s="1"/>
  <c r="O44" i="4" s="1"/>
  <c r="F69" i="4"/>
  <c r="E106" i="4"/>
  <c r="F44" i="4"/>
  <c r="F143" i="4"/>
  <c r="L84" i="4"/>
  <c r="I75" i="4"/>
  <c r="F75" i="4"/>
  <c r="E157" i="4"/>
  <c r="I90" i="4"/>
  <c r="F252" i="4"/>
  <c r="F251" i="4" s="1"/>
  <c r="F250" i="4" s="1"/>
  <c r="F160" i="4"/>
  <c r="F124" i="4"/>
  <c r="F33" i="4"/>
  <c r="F90" i="4"/>
  <c r="O125" i="4"/>
  <c r="L124" i="4"/>
  <c r="O70" i="4"/>
  <c r="L69" i="4"/>
  <c r="E250" i="4"/>
  <c r="E249" i="4" s="1"/>
  <c r="E248" i="4" s="1"/>
  <c r="I124" i="4"/>
  <c r="I160" i="4"/>
  <c r="O159" i="4"/>
  <c r="L158" i="4"/>
  <c r="L33" i="4"/>
  <c r="L288" i="4"/>
  <c r="I287" i="4"/>
  <c r="O123" i="4"/>
  <c r="L122" i="4"/>
  <c r="O101" i="4"/>
  <c r="L100" i="4"/>
  <c r="L99" i="4" s="1"/>
  <c r="O200" i="4"/>
  <c r="L303" i="4"/>
  <c r="L198" i="4"/>
  <c r="L191" i="4" s="1"/>
  <c r="E121" i="4"/>
  <c r="I198" i="4"/>
  <c r="I191" i="4" s="1"/>
  <c r="O135" i="4"/>
  <c r="L134" i="4"/>
  <c r="L133" i="4" s="1"/>
  <c r="O108" i="4"/>
  <c r="L107" i="4"/>
  <c r="O161" i="4"/>
  <c r="L160" i="4"/>
  <c r="O76" i="4"/>
  <c r="L75" i="4"/>
  <c r="O91" i="4"/>
  <c r="L90" i="4"/>
  <c r="O57" i="4"/>
  <c r="L55" i="4"/>
  <c r="L48" i="4" s="1"/>
  <c r="I33" i="4"/>
  <c r="I143" i="4"/>
  <c r="O84" i="4"/>
  <c r="O170" i="4"/>
  <c r="L169" i="4"/>
  <c r="O144" i="4"/>
  <c r="L143" i="4"/>
  <c r="O33" i="4"/>
  <c r="L255" i="4"/>
  <c r="I252" i="4"/>
  <c r="I251" i="4" s="1"/>
  <c r="M67" i="4"/>
  <c r="M66" i="4" s="1"/>
  <c r="N250" i="4"/>
  <c r="N249" i="4" s="1"/>
  <c r="N248" i="4" s="1"/>
  <c r="J250" i="4"/>
  <c r="J249" i="4" s="1"/>
  <c r="J248" i="4" s="1"/>
  <c r="N67" i="4"/>
  <c r="N66" i="4" s="1"/>
  <c r="J67" i="4"/>
  <c r="J66" i="4" s="1"/>
  <c r="M249" i="4"/>
  <c r="M248" i="4" s="1"/>
  <c r="G249" i="4"/>
  <c r="G248" i="4" s="1"/>
  <c r="N15" i="4"/>
  <c r="N14" i="4" s="1"/>
  <c r="E83" i="4"/>
  <c r="P141" i="4"/>
  <c r="J15" i="4"/>
  <c r="J14" i="4" s="1"/>
  <c r="J141" i="4"/>
  <c r="O27" i="4"/>
  <c r="F28" i="4"/>
  <c r="I28" i="4"/>
  <c r="L28" i="4" s="1"/>
  <c r="F55" i="4"/>
  <c r="F48" i="4" s="1"/>
  <c r="I55" i="4"/>
  <c r="I48" i="4" s="1"/>
  <c r="J105" i="4"/>
  <c r="G15" i="4"/>
  <c r="G14" i="4" s="1"/>
  <c r="E32" i="4"/>
  <c r="K141" i="4"/>
  <c r="N105" i="4"/>
  <c r="M105" i="4"/>
  <c r="F169" i="4"/>
  <c r="H141" i="4"/>
  <c r="M141" i="4"/>
  <c r="K67" i="4"/>
  <c r="K66" i="4" s="1"/>
  <c r="Q141" i="4"/>
  <c r="K15" i="4"/>
  <c r="K14" i="4" s="1"/>
  <c r="K105" i="4"/>
  <c r="G67" i="4"/>
  <c r="G66" i="4" s="1"/>
  <c r="F208" i="4"/>
  <c r="I208" i="4"/>
  <c r="I206" i="4" s="1"/>
  <c r="F158" i="4"/>
  <c r="I158" i="4"/>
  <c r="F122" i="4"/>
  <c r="I122" i="4"/>
  <c r="F100" i="4"/>
  <c r="F99" i="4" s="1"/>
  <c r="I100" i="4"/>
  <c r="I99" i="4" s="1"/>
  <c r="F84" i="4"/>
  <c r="I84" i="4"/>
  <c r="F134" i="4"/>
  <c r="F133" i="4" s="1"/>
  <c r="I134" i="4"/>
  <c r="I133" i="4" s="1"/>
  <c r="F107" i="4"/>
  <c r="I107" i="4"/>
  <c r="H15" i="4"/>
  <c r="H14" i="4" s="1"/>
  <c r="M15" i="4"/>
  <c r="M14" i="4" s="1"/>
  <c r="Q15" i="4"/>
  <c r="Q14" i="4" s="1"/>
  <c r="P249" i="4"/>
  <c r="P248" i="4" s="1"/>
  <c r="H67" i="4"/>
  <c r="H66" i="4" s="1"/>
  <c r="H249" i="4"/>
  <c r="H248" i="4" s="1"/>
  <c r="Q249" i="4"/>
  <c r="Q248" i="4" s="1"/>
  <c r="K249" i="4"/>
  <c r="K248" i="4" s="1"/>
  <c r="P15" i="4"/>
  <c r="P14" i="4" s="1"/>
  <c r="E142" i="4"/>
  <c r="G105" i="4"/>
  <c r="Q67" i="4"/>
  <c r="Q66" i="4" s="1"/>
  <c r="N141" i="4"/>
  <c r="E23" i="4"/>
  <c r="E16" i="4" s="1"/>
  <c r="F27" i="4"/>
  <c r="Q105" i="4"/>
  <c r="I7" i="4"/>
  <c r="I6" i="4"/>
  <c r="I5" i="4"/>
  <c r="G141" i="4"/>
  <c r="P105" i="4"/>
  <c r="H105" i="4"/>
  <c r="P67" i="4"/>
  <c r="P66" i="4" s="1"/>
  <c r="F39" i="4" l="1"/>
  <c r="F32" i="4" s="1"/>
  <c r="S84" i="4"/>
  <c r="S33" i="4"/>
  <c r="O148" i="4"/>
  <c r="O147" i="4" s="1"/>
  <c r="O112" i="4"/>
  <c r="O111" i="4" s="1"/>
  <c r="R84" i="4"/>
  <c r="F68" i="4"/>
  <c r="R33" i="4"/>
  <c r="I68" i="4"/>
  <c r="E67" i="4"/>
  <c r="E66" i="4" s="1"/>
  <c r="F142" i="4"/>
  <c r="I106" i="4"/>
  <c r="L39" i="4"/>
  <c r="L32" i="4" s="1"/>
  <c r="I39" i="4"/>
  <c r="I32" i="4" s="1"/>
  <c r="I121" i="4"/>
  <c r="F106" i="4"/>
  <c r="F83" i="4"/>
  <c r="L142" i="4"/>
  <c r="E141" i="4"/>
  <c r="I157" i="4"/>
  <c r="F157" i="4"/>
  <c r="I142" i="4"/>
  <c r="L83" i="4"/>
  <c r="E105" i="4"/>
  <c r="L68" i="4"/>
  <c r="F121" i="4"/>
  <c r="I83" i="4"/>
  <c r="L121" i="4"/>
  <c r="R144" i="4"/>
  <c r="S144" i="4" s="1"/>
  <c r="O143" i="4"/>
  <c r="R125" i="4"/>
  <c r="S125" i="4" s="1"/>
  <c r="O124" i="4"/>
  <c r="O255" i="4"/>
  <c r="L252" i="4"/>
  <c r="L251" i="4" s="1"/>
  <c r="O288" i="4"/>
  <c r="L287" i="4"/>
  <c r="R57" i="4"/>
  <c r="S57" i="4" s="1"/>
  <c r="O55" i="4"/>
  <c r="O48" i="4" s="1"/>
  <c r="R76" i="4"/>
  <c r="S76" i="4" s="1"/>
  <c r="O75" i="4"/>
  <c r="R108" i="4"/>
  <c r="O107" i="4"/>
  <c r="R200" i="4"/>
  <c r="S200" i="4" s="1"/>
  <c r="O198" i="4"/>
  <c r="O191" i="4" s="1"/>
  <c r="R123" i="4"/>
  <c r="O122" i="4"/>
  <c r="L157" i="4"/>
  <c r="R159" i="4"/>
  <c r="S159" i="4" s="1"/>
  <c r="O158" i="4"/>
  <c r="R91" i="4"/>
  <c r="S91" i="4" s="1"/>
  <c r="O90" i="4"/>
  <c r="O83" i="4" s="1"/>
  <c r="R161" i="4"/>
  <c r="S161" i="4" s="1"/>
  <c r="O160" i="4"/>
  <c r="R135" i="4"/>
  <c r="S135" i="4" s="1"/>
  <c r="O134" i="4"/>
  <c r="O133" i="4" s="1"/>
  <c r="R101" i="4"/>
  <c r="O100" i="4"/>
  <c r="O99" i="4" s="1"/>
  <c r="R70" i="4"/>
  <c r="O69" i="4"/>
  <c r="R170" i="4"/>
  <c r="S170" i="4" s="1"/>
  <c r="O169" i="4"/>
  <c r="L106" i="4"/>
  <c r="O28" i="4"/>
  <c r="F206" i="4"/>
  <c r="K104" i="4"/>
  <c r="K65" i="4" s="1"/>
  <c r="K13" i="4" s="1"/>
  <c r="K12" i="4" s="1"/>
  <c r="F249" i="4"/>
  <c r="F248" i="4" s="1"/>
  <c r="J104" i="4"/>
  <c r="J65" i="4" s="1"/>
  <c r="J13" i="4" s="1"/>
  <c r="J12" i="4" s="1"/>
  <c r="P104" i="4"/>
  <c r="P65" i="4" s="1"/>
  <c r="P13" i="4" s="1"/>
  <c r="P12" i="4" s="1"/>
  <c r="L23" i="4"/>
  <c r="L16" i="4" s="1"/>
  <c r="R27" i="4"/>
  <c r="S27" i="4" s="1"/>
  <c r="R44" i="4"/>
  <c r="S44" i="4" s="1"/>
  <c r="O39" i="4"/>
  <c r="O32" i="4" s="1"/>
  <c r="M104" i="4"/>
  <c r="M65" i="4" s="1"/>
  <c r="M13" i="4" s="1"/>
  <c r="M12" i="4" s="1"/>
  <c r="Q104" i="4"/>
  <c r="Q65" i="4" s="1"/>
  <c r="Q13" i="4" s="1"/>
  <c r="Q12" i="4" s="1"/>
  <c r="E15" i="4"/>
  <c r="E14" i="4" s="1"/>
  <c r="H104" i="4"/>
  <c r="N104" i="4"/>
  <c r="N65" i="4" s="1"/>
  <c r="N13" i="4" s="1"/>
  <c r="N12" i="4" s="1"/>
  <c r="G104" i="4"/>
  <c r="G65" i="4" s="1"/>
  <c r="G13" i="4" s="1"/>
  <c r="G12" i="4" s="1"/>
  <c r="L6" i="4"/>
  <c r="L7" i="4"/>
  <c r="L5" i="4"/>
  <c r="F23" i="4"/>
  <c r="F16" i="4" s="1"/>
  <c r="I23" i="4"/>
  <c r="I16" i="4" s="1"/>
  <c r="S101" i="4" l="1"/>
  <c r="S100" i="4" s="1"/>
  <c r="S99" i="4" s="1"/>
  <c r="S69" i="4"/>
  <c r="S70" i="4"/>
  <c r="S123" i="4"/>
  <c r="S122" i="4" s="1"/>
  <c r="S107" i="4"/>
  <c r="S108" i="4"/>
  <c r="R55" i="4"/>
  <c r="R48" i="4" s="1"/>
  <c r="S55" i="4"/>
  <c r="S48" i="4" s="1"/>
  <c r="R160" i="4"/>
  <c r="R157" i="4" s="1"/>
  <c r="S160" i="4"/>
  <c r="R158" i="4"/>
  <c r="S158" i="4"/>
  <c r="R39" i="4"/>
  <c r="R32" i="4" s="1"/>
  <c r="S39" i="4"/>
  <c r="S32" i="4" s="1"/>
  <c r="R198" i="4"/>
  <c r="R191" i="4" s="1"/>
  <c r="S198" i="4"/>
  <c r="S191" i="4" s="1"/>
  <c r="R75" i="4"/>
  <c r="S75" i="4"/>
  <c r="R124" i="4"/>
  <c r="S124" i="4"/>
  <c r="R134" i="4"/>
  <c r="R133" i="4" s="1"/>
  <c r="S134" i="4"/>
  <c r="S133" i="4" s="1"/>
  <c r="R90" i="4"/>
  <c r="S90" i="4"/>
  <c r="S83" i="4" s="1"/>
  <c r="R143" i="4"/>
  <c r="S143" i="4"/>
  <c r="R169" i="4"/>
  <c r="S169" i="4"/>
  <c r="R122" i="4"/>
  <c r="R121" i="4" s="1"/>
  <c r="R107" i="4"/>
  <c r="F67" i="4"/>
  <c r="F66" i="4" s="1"/>
  <c r="G2" i="4" s="1"/>
  <c r="R112" i="4"/>
  <c r="R148" i="4"/>
  <c r="S148" i="4" s="1"/>
  <c r="R83" i="4"/>
  <c r="F15" i="4"/>
  <c r="F14" i="4" s="1"/>
  <c r="R28" i="4"/>
  <c r="S28" i="4" s="1"/>
  <c r="R69" i="4"/>
  <c r="R100" i="4"/>
  <c r="R99" i="4" s="1"/>
  <c r="J11" i="4"/>
  <c r="J10" i="4" s="1"/>
  <c r="J4" i="4" s="1"/>
  <c r="G11" i="4"/>
  <c r="G10" i="4" s="1"/>
  <c r="G4" i="4" s="1"/>
  <c r="Q11" i="4"/>
  <c r="Q10" i="4" s="1"/>
  <c r="Q4" i="4" s="1"/>
  <c r="K11" i="4"/>
  <c r="K10" i="4" s="1"/>
  <c r="K4" i="4" s="1"/>
  <c r="P11" i="4"/>
  <c r="P10" i="4" s="1"/>
  <c r="P4" i="4" s="1"/>
  <c r="N11" i="4"/>
  <c r="N10" i="4" s="1"/>
  <c r="N4" i="4" s="1"/>
  <c r="M11" i="4"/>
  <c r="M10" i="4" s="1"/>
  <c r="M4" i="4" s="1"/>
  <c r="I67" i="4"/>
  <c r="I66" i="4" s="1"/>
  <c r="F141" i="4"/>
  <c r="I15" i="4"/>
  <c r="I14" i="4" s="1"/>
  <c r="I105" i="4"/>
  <c r="F105" i="4"/>
  <c r="O68" i="4"/>
  <c r="O67" i="4" s="1"/>
  <c r="O66" i="4" s="1"/>
  <c r="L67" i="4"/>
  <c r="L66" i="4" s="1"/>
  <c r="L141" i="4"/>
  <c r="E104" i="4"/>
  <c r="E65" i="4" s="1"/>
  <c r="E13" i="4" s="1"/>
  <c r="L15" i="4"/>
  <c r="L14" i="4" s="1"/>
  <c r="I141" i="4"/>
  <c r="O121" i="4"/>
  <c r="O157" i="4"/>
  <c r="L105" i="4"/>
  <c r="R255" i="4"/>
  <c r="S255" i="4" s="1"/>
  <c r="O252" i="4"/>
  <c r="O251" i="4" s="1"/>
  <c r="O142" i="4"/>
  <c r="O106" i="4"/>
  <c r="R288" i="4"/>
  <c r="S288" i="4" s="1"/>
  <c r="O287" i="4"/>
  <c r="O23" i="4"/>
  <c r="O16" i="4" s="1"/>
  <c r="O15" i="4" s="1"/>
  <c r="O14" i="4" s="1"/>
  <c r="O7" i="4"/>
  <c r="O6" i="4"/>
  <c r="O5" i="4"/>
  <c r="S121" i="4" l="1"/>
  <c r="S68" i="4"/>
  <c r="S67" i="4" s="1"/>
  <c r="S66" i="4" s="1"/>
  <c r="S111" i="4"/>
  <c r="S106" i="4" s="1"/>
  <c r="S105" i="4" s="1"/>
  <c r="S112" i="4"/>
  <c r="R287" i="4"/>
  <c r="S287" i="4"/>
  <c r="R252" i="4"/>
  <c r="R251" i="4" s="1"/>
  <c r="S252" i="4"/>
  <c r="S251" i="4" s="1"/>
  <c r="R68" i="4"/>
  <c r="R67" i="4" s="1"/>
  <c r="R66" i="4" s="1"/>
  <c r="R23" i="4"/>
  <c r="R16" i="4" s="1"/>
  <c r="R15" i="4" s="1"/>
  <c r="S23" i="4"/>
  <c r="S16" i="4" s="1"/>
  <c r="S15" i="4" s="1"/>
  <c r="S14" i="4" s="1"/>
  <c r="R147" i="4"/>
  <c r="R142" i="4" s="1"/>
  <c r="R141" i="4" s="1"/>
  <c r="S147" i="4"/>
  <c r="S142" i="4" s="1"/>
  <c r="S157" i="4"/>
  <c r="E12" i="4"/>
  <c r="E11" i="4" s="1"/>
  <c r="E10" i="4" s="1"/>
  <c r="E4" i="4" s="1"/>
  <c r="I1" i="4"/>
  <c r="R111" i="4"/>
  <c r="R106" i="4" s="1"/>
  <c r="R105" i="4" s="1"/>
  <c r="H2" i="4"/>
  <c r="G1" i="4"/>
  <c r="F104" i="4"/>
  <c r="I104" i="4"/>
  <c r="L104" i="4"/>
  <c r="L65" i="4" s="1"/>
  <c r="L13" i="4" s="1"/>
  <c r="L12" i="4" s="1"/>
  <c r="O105" i="4"/>
  <c r="O141" i="4"/>
  <c r="R7" i="4"/>
  <c r="R5" i="4"/>
  <c r="R6" i="4"/>
  <c r="S141" i="4" l="1"/>
  <c r="S104" i="4" s="1"/>
  <c r="S65" i="4" s="1"/>
  <c r="S13" i="4" s="1"/>
  <c r="S12" i="4" s="1"/>
  <c r="S11" i="4" s="1"/>
  <c r="S10" i="4" s="1"/>
  <c r="R14" i="4"/>
  <c r="H1" i="4"/>
  <c r="L11" i="4"/>
  <c r="L10" i="4" s="1"/>
  <c r="R104" i="4"/>
  <c r="R65" i="4" s="1"/>
  <c r="O104" i="4"/>
  <c r="O65" i="4" s="1"/>
  <c r="O13" i="4" s="1"/>
  <c r="O12" i="4" s="1"/>
  <c r="R13" i="4" l="1"/>
  <c r="O11" i="4"/>
  <c r="O10" i="4" s="1"/>
  <c r="R12" i="4" l="1"/>
  <c r="R11" i="4" s="1"/>
  <c r="R10" i="4" s="1"/>
  <c r="H181" i="4" l="1"/>
  <c r="H65" i="4" s="1"/>
  <c r="H13" i="4" s="1"/>
  <c r="H12" i="4" s="1"/>
  <c r="H11" i="4" l="1"/>
  <c r="H10" i="4" s="1"/>
  <c r="H4" i="4" s="1"/>
  <c r="F181" i="4"/>
  <c r="I181" i="4"/>
  <c r="I65" i="4" s="1"/>
  <c r="I13" i="4" s="1"/>
  <c r="I12" i="4" s="1"/>
  <c r="I11" i="4" l="1"/>
  <c r="I10" i="4" s="1"/>
  <c r="F65" i="4"/>
  <c r="F13" i="4" l="1"/>
  <c r="I2" i="4" s="1"/>
  <c r="J1" i="4" s="1"/>
  <c r="R277" i="4"/>
  <c r="S277" i="4" s="1"/>
  <c r="I274" i="4"/>
  <c r="I250" i="4" s="1"/>
  <c r="I249" i="4" s="1"/>
  <c r="I248" i="4" s="1"/>
  <c r="I4" i="4" s="1"/>
  <c r="F12" i="4" l="1"/>
  <c r="F11" i="4" s="1"/>
  <c r="F10" i="4" s="1"/>
  <c r="F4" i="4" s="1"/>
  <c r="O2" i="4"/>
  <c r="L274" i="4"/>
  <c r="L250" i="4" s="1"/>
  <c r="L249" i="4" s="1"/>
  <c r="L248" i="4" s="1"/>
  <c r="L4" i="4" s="1"/>
  <c r="O278" i="4"/>
  <c r="O276" i="4" s="1"/>
  <c r="O274" i="4" s="1"/>
  <c r="R278" i="4" l="1"/>
  <c r="O250" i="4"/>
  <c r="O249" i="4" s="1"/>
  <c r="O248" i="4" s="1"/>
  <c r="O4" i="4" s="1"/>
  <c r="S278" i="4" l="1"/>
  <c r="S276" i="4" s="1"/>
  <c r="S274" i="4" s="1"/>
  <c r="S250" i="4" s="1"/>
  <c r="S249" i="4" s="1"/>
  <c r="S248" i="4" s="1"/>
  <c r="S4" i="4" s="1"/>
  <c r="R276" i="4"/>
  <c r="R274" i="4"/>
  <c r="R250" i="4" l="1"/>
  <c r="R249" i="4" s="1"/>
  <c r="R248" i="4" s="1"/>
  <c r="R4" i="4" s="1"/>
</calcChain>
</file>

<file path=xl/comments1.xml><?xml version="1.0" encoding="utf-8"?>
<comments xmlns="http://schemas.openxmlformats.org/spreadsheetml/2006/main">
  <authors>
    <author>karla</author>
  </authors>
  <commentList>
    <comment ref="I51" authorId="0">
      <text>
        <r>
          <rPr>
            <b/>
            <sz val="9"/>
            <color indexed="81"/>
            <rFont val="Tahoma"/>
            <family val="2"/>
          </rPr>
          <t>karla: Reservar para Blanca $1.293.038,oo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<sst xmlns="http://schemas.openxmlformats.org/spreadsheetml/2006/main" count="955" uniqueCount="435">
  <si>
    <t>SECRETARIA DE EDUCACION MUNICIPAL</t>
  </si>
  <si>
    <t>PRESUPUESTO VIGENCIA 2014</t>
  </si>
  <si>
    <t>TOTAL PRESUPUESTO SEM 2014</t>
  </si>
  <si>
    <t>DEUDA EXTERNA</t>
  </si>
  <si>
    <t>DEUDA SGP EDUCACION</t>
  </si>
  <si>
    <t>BANCO MUNDIAL - EDUCACION</t>
  </si>
  <si>
    <t>Amortización Deuda</t>
  </si>
  <si>
    <t>Intereses Deuda y Gastos de Operación</t>
  </si>
  <si>
    <t>SECTOR EDUCACION</t>
  </si>
  <si>
    <t>LINEA ESTRATEGICA PROCESO SOCIAL INCLUYENTE</t>
  </si>
  <si>
    <t>EDUCACION CON CALIDAD Y EQUIDAD PARA LA TRANSFORMACION SOCIAL</t>
  </si>
  <si>
    <t>SGP EDUCACION</t>
  </si>
  <si>
    <t>1, GASTOS DE FUNCIONAMIENTO (CUOTA DE ADMON. SECRETARIA EDUCACION)</t>
  </si>
  <si>
    <t>GASTOS DE PERSONAL</t>
  </si>
  <si>
    <t>SERVICIOS PERSONALES ASOCIADOS A LA NOMINA</t>
  </si>
  <si>
    <t>Sueldos Personal de Nómina</t>
  </si>
  <si>
    <t>Sueldos</t>
  </si>
  <si>
    <t>Incremento por Antigüedad</t>
  </si>
  <si>
    <t>Horas Extras y Días Festivos</t>
  </si>
  <si>
    <t>Indemnización por Vacaciones</t>
  </si>
  <si>
    <t>Prima Tecnica</t>
  </si>
  <si>
    <t>Otros gastos por servicios personales</t>
  </si>
  <si>
    <t>Subsidio o Prima de Alimentación</t>
  </si>
  <si>
    <t>Auxilio de Transporte</t>
  </si>
  <si>
    <t>Bonificación por Servicios Prestados</t>
  </si>
  <si>
    <t>Prima de Vacaciones</t>
  </si>
  <si>
    <t>Prima de Navidad</t>
  </si>
  <si>
    <t>Bonificación Especial de Recreación</t>
  </si>
  <si>
    <t>Concurso de Méritos</t>
  </si>
  <si>
    <t>TOTAL CONTRIBUCIONES INHERENTES A LA NOMINA</t>
  </si>
  <si>
    <t>CONTRIBUCIONES INHERENTES A LA NOMINA SECTOR PRIVADO</t>
  </si>
  <si>
    <t>Caja de  Compensación Familiar</t>
  </si>
  <si>
    <t>Aportes Cesantías (Personal Administrativo)</t>
  </si>
  <si>
    <t>Aportes Salud (Personal Administrativo)</t>
  </si>
  <si>
    <t>Aportes Pensión (Personal Administrativo)</t>
  </si>
  <si>
    <t>Riesgos Profesionales A.R.P. (Accidentes de Trabajo y Enfermedad Profesional)</t>
  </si>
  <si>
    <t>CONTRIBUCIONES INHERENTES A LA NOMINA SECTOR  PUBLICO</t>
  </si>
  <si>
    <t>Servicio Nacional de Aprendizaje (SENA Ley 21/82)</t>
  </si>
  <si>
    <t>Instituto Colombiano de Bienestar Familiar (ICBF Ley 89/88)</t>
  </si>
  <si>
    <t>Escuelas Industriales e Institutos Técnicos (Ley 21/82)</t>
  </si>
  <si>
    <t>Escuela Superior de Administración Pública (ESAP Ley 21/82)</t>
  </si>
  <si>
    <t>GASTOS GENERALES</t>
  </si>
  <si>
    <t>Adquisición de Bienes</t>
  </si>
  <si>
    <t>Compra de Equipo</t>
  </si>
  <si>
    <t>Materiales y Suministros</t>
  </si>
  <si>
    <t>Impresos y Publicaciones</t>
  </si>
  <si>
    <t>Muebles y Enseres</t>
  </si>
  <si>
    <t>Dotacion de personal administrativo</t>
  </si>
  <si>
    <t>Adquisición de Servicios</t>
  </si>
  <si>
    <t>Víaticos y Gastos de Viaje</t>
  </si>
  <si>
    <t>Comunicaciones y Transporte</t>
  </si>
  <si>
    <t>Fortalecimiento de las Tecnologias de la Informacion y comunicación en la Secretaria de Educación</t>
  </si>
  <si>
    <t xml:space="preserve">Capacitación, Bienestar Social y Estímulos </t>
  </si>
  <si>
    <t>Mantenimiento</t>
  </si>
  <si>
    <t>Otros gastos por adquisicion de servicios</t>
  </si>
  <si>
    <t xml:space="preserve">TRANSFERENCIAS </t>
  </si>
  <si>
    <t>Sentencias y Conciliaciones</t>
  </si>
  <si>
    <t>GASTOS DE INVERSION</t>
  </si>
  <si>
    <t>2.TOTAL COSTO PERSONAL ADMINISTRATIVO SECTOR EDUCACION</t>
  </si>
  <si>
    <t>COSTOS DE PERSONAL</t>
  </si>
  <si>
    <t>2301010101211111</t>
  </si>
  <si>
    <t>2301010101211112</t>
  </si>
  <si>
    <t>230101010121112</t>
  </si>
  <si>
    <t>Horas Extras y Días Festivos (Pnal Advo)</t>
  </si>
  <si>
    <t>Otros Gastos por Servicios Personales</t>
  </si>
  <si>
    <t>2301010101211151</t>
  </si>
  <si>
    <t>2301010101211152</t>
  </si>
  <si>
    <t>2301010101211153</t>
  </si>
  <si>
    <t>2301010101211154</t>
  </si>
  <si>
    <t>2301010101211155</t>
  </si>
  <si>
    <t>2301010101211156</t>
  </si>
  <si>
    <t>2301010101211157</t>
  </si>
  <si>
    <t>23010101012112</t>
  </si>
  <si>
    <t>230101010121121</t>
  </si>
  <si>
    <t>2301010101211211</t>
  </si>
  <si>
    <t>2301010101211212</t>
  </si>
  <si>
    <t>2301010101211213</t>
  </si>
  <si>
    <t>2301010101211214</t>
  </si>
  <si>
    <t>2301010101211215</t>
  </si>
  <si>
    <t>230101010121122</t>
  </si>
  <si>
    <t>2301010101211221</t>
  </si>
  <si>
    <t>2301010101211222</t>
  </si>
  <si>
    <t>2301010101211223</t>
  </si>
  <si>
    <t>2301010101211224</t>
  </si>
  <si>
    <t>2301010101211225</t>
  </si>
  <si>
    <t>2301010101211226</t>
  </si>
  <si>
    <t>2301010101211227</t>
  </si>
  <si>
    <t>2301010101211228</t>
  </si>
  <si>
    <t>ADQUISICION DE BIENES</t>
  </si>
  <si>
    <t>Dotación del Personal Administrativo</t>
  </si>
  <si>
    <t>230101010122</t>
  </si>
  <si>
    <t xml:space="preserve">TOTAL COSTO PERSONAL DOCENTE y DIRECTIVO DOCENTE </t>
  </si>
  <si>
    <t>2301010101221</t>
  </si>
  <si>
    <t xml:space="preserve">3. COSTO PERSONAL DOCENTE </t>
  </si>
  <si>
    <t>23010101012211</t>
  </si>
  <si>
    <t>230101010122111</t>
  </si>
  <si>
    <t>2301010101221111</t>
  </si>
  <si>
    <t>2301010101221112</t>
  </si>
  <si>
    <t>Sobresueldos</t>
  </si>
  <si>
    <t>230101010122112</t>
  </si>
  <si>
    <t>Horas Extras y Días Festivos (docente)</t>
  </si>
  <si>
    <t>230101010122113</t>
  </si>
  <si>
    <t>2301010101221131</t>
  </si>
  <si>
    <t>2301010101221132</t>
  </si>
  <si>
    <t>2301010101221133</t>
  </si>
  <si>
    <t>2301010101221134</t>
  </si>
  <si>
    <t>2301010101221135</t>
  </si>
  <si>
    <t>Auxilio de Movilización</t>
  </si>
  <si>
    <t>2301010101221136</t>
  </si>
  <si>
    <t>Otras Primas del Orden Nacional (Extraordinarias)</t>
  </si>
  <si>
    <t>2301010101221137</t>
  </si>
  <si>
    <t>Estímulos Dcto. 1171/04  Zonas de Díficil Acceso</t>
  </si>
  <si>
    <t>23010101012212</t>
  </si>
  <si>
    <t>CONTRIBUCIONES INHERENTES A LA NOMINA</t>
  </si>
  <si>
    <t>230101010122121</t>
  </si>
  <si>
    <t>2301010101221211</t>
  </si>
  <si>
    <t>230101010122122</t>
  </si>
  <si>
    <t>2301010101221221</t>
  </si>
  <si>
    <t>2301010101221222</t>
  </si>
  <si>
    <t>2301010101221223</t>
  </si>
  <si>
    <t>2301010101221224</t>
  </si>
  <si>
    <t>23010101012213</t>
  </si>
  <si>
    <t xml:space="preserve">PROVISION ASCENSOS ESCALAFON </t>
  </si>
  <si>
    <t>230101010122131</t>
  </si>
  <si>
    <t>Provisión Ascensos Escalafon Docente</t>
  </si>
  <si>
    <t>23010101012214</t>
  </si>
  <si>
    <t>AUXILIO FUNERARIO</t>
  </si>
  <si>
    <t>230101010122141</t>
  </si>
  <si>
    <t xml:space="preserve">Auxilio Funerario </t>
  </si>
  <si>
    <t>23010101012215</t>
  </si>
  <si>
    <t>230101010122151</t>
  </si>
  <si>
    <t>2301010101221511</t>
  </si>
  <si>
    <t>Dotación del Personal Docente</t>
  </si>
  <si>
    <t>23010101012216</t>
  </si>
  <si>
    <t>TRANSFERENCIAS</t>
  </si>
  <si>
    <t>230101010122161</t>
  </si>
  <si>
    <t>23010101012217</t>
  </si>
  <si>
    <t xml:space="preserve">APORTES PATRONALES SIN SITUACION DE FONDOS - DOCENTE </t>
  </si>
  <si>
    <t>230101010122171</t>
  </si>
  <si>
    <t xml:space="preserve">Cesantias </t>
  </si>
  <si>
    <t>230101010122172</t>
  </si>
  <si>
    <t xml:space="preserve">Previsión Social </t>
  </si>
  <si>
    <t>2301010101222</t>
  </si>
  <si>
    <t>4.COSTO PERSONAL DIRECTIVO DOCENTE</t>
  </si>
  <si>
    <t>23010101012221</t>
  </si>
  <si>
    <t>230101010122211</t>
  </si>
  <si>
    <t>2301010101222111</t>
  </si>
  <si>
    <t>2301010101222112</t>
  </si>
  <si>
    <t>230101010122212</t>
  </si>
  <si>
    <t>230101010122213</t>
  </si>
  <si>
    <t>2301010101222131</t>
  </si>
  <si>
    <t>2301010101222132</t>
  </si>
  <si>
    <t>2301010101222133</t>
  </si>
  <si>
    <t>2301010101222134</t>
  </si>
  <si>
    <t>2301010101222135</t>
  </si>
  <si>
    <t>2301010101222136</t>
  </si>
  <si>
    <t>2301010101222137</t>
  </si>
  <si>
    <t>23010101012222</t>
  </si>
  <si>
    <t>230101010122221</t>
  </si>
  <si>
    <t>2301010101222211</t>
  </si>
  <si>
    <t>230101010122222</t>
  </si>
  <si>
    <t>2301010101222221</t>
  </si>
  <si>
    <t>2301010101222222</t>
  </si>
  <si>
    <t>2301010101222223</t>
  </si>
  <si>
    <t>2301010101222224</t>
  </si>
  <si>
    <t>230101010122223</t>
  </si>
  <si>
    <t>2301010101222231</t>
  </si>
  <si>
    <t>Provisión Ascensos Escalafon Directivos Docente</t>
  </si>
  <si>
    <t>230101010122224</t>
  </si>
  <si>
    <t>2301010101222241</t>
  </si>
  <si>
    <t>230101010122225</t>
  </si>
  <si>
    <t>2301010101222251</t>
  </si>
  <si>
    <t>Dotación del Personal Directivo Docente</t>
  </si>
  <si>
    <t>2301010101222252</t>
  </si>
  <si>
    <t>Capacitación personal del Sector, viáticos y gastos de viaje directivos docentes</t>
  </si>
  <si>
    <t>230101010122226</t>
  </si>
  <si>
    <t>2301010101222261</t>
  </si>
  <si>
    <t>230101010122227</t>
  </si>
  <si>
    <t>APORTES PATRONALES SIN SITUACION DE FONDOS - DIRECTIVOS DOCENTES</t>
  </si>
  <si>
    <t>2301010101222271</t>
  </si>
  <si>
    <t>2301010101222272</t>
  </si>
  <si>
    <t>230101010123</t>
  </si>
  <si>
    <t>RECURSOS S.G.P. PRESTACION DEL SERVICIO</t>
  </si>
  <si>
    <t>2301010101231</t>
  </si>
  <si>
    <t>Conectividad</t>
  </si>
  <si>
    <t>2301010101232</t>
  </si>
  <si>
    <t>Transporte escolar</t>
  </si>
  <si>
    <t>230101010124</t>
  </si>
  <si>
    <t>OPERACIÓN DE LOS ESTABLECIMIENTOS EDUCATIVOS</t>
  </si>
  <si>
    <t>2301010101241</t>
  </si>
  <si>
    <t xml:space="preserve">Conserjería, Cuidado, Aseo y Vigilancia Establecimientos Educativos </t>
  </si>
  <si>
    <t>230101010125</t>
  </si>
  <si>
    <t>SOSTENIMIENTO Y AMPLIACION DE COBERTURA EDUCATIVA</t>
  </si>
  <si>
    <t>2301010101251</t>
  </si>
  <si>
    <t>Contratos Prestación del Servicio Educativo</t>
  </si>
  <si>
    <t>2301010101252</t>
  </si>
  <si>
    <t>Contratos Administración del Servicio Educativo</t>
  </si>
  <si>
    <t>2301010101253</t>
  </si>
  <si>
    <t>Educacion de adultos</t>
  </si>
  <si>
    <t>230101010126</t>
  </si>
  <si>
    <t>APOYOS EDUCATIVOS POBLACION CON DISCAPACIDAD</t>
  </si>
  <si>
    <t>2301010101261</t>
  </si>
  <si>
    <t>Apoyos Educativos Especiales Población con Discapacidad</t>
  </si>
  <si>
    <t>230101010127</t>
  </si>
  <si>
    <t>SISTEMA DE INFORMACION MODERNIZACION DE LA SEM</t>
  </si>
  <si>
    <t>2301010101271</t>
  </si>
  <si>
    <t>Modernización de la Secretaria de Educación</t>
  </si>
  <si>
    <t>230101010128</t>
  </si>
  <si>
    <t>CALIDAD EDUCATIVA CON RECURSOS DEL SGP</t>
  </si>
  <si>
    <t>23010101012801</t>
  </si>
  <si>
    <t>Implementación y Apoyo a Planes de Mejoramiento</t>
  </si>
  <si>
    <t>23010101012802</t>
  </si>
  <si>
    <t>Construcción, Ampliación y Adecuación Infraestructura Educativa</t>
  </si>
  <si>
    <t>23010101012803</t>
  </si>
  <si>
    <t>Educacion Sexual y competencias ciudanas</t>
  </si>
  <si>
    <t>23010101012804</t>
  </si>
  <si>
    <t>Desarrollo de Competencias Laborales y Bilinguismo</t>
  </si>
  <si>
    <t>23010101012805</t>
  </si>
  <si>
    <t>Servicios públicos de estalecimientos educativos</t>
  </si>
  <si>
    <t>Servicios Públicos Energia, Alumbrado Eléctrico</t>
  </si>
  <si>
    <t>Servicios Públicos Acueducto, Alcantarillado, Aseo</t>
  </si>
  <si>
    <t>23010101012806</t>
  </si>
  <si>
    <t>Arrendamiento de Infraestructura</t>
  </si>
  <si>
    <t>23010101012807</t>
  </si>
  <si>
    <t>Actualización de antecedentes legales de los establecimientos educativos</t>
  </si>
  <si>
    <t>23010101012808</t>
  </si>
  <si>
    <t>230101010129</t>
  </si>
  <si>
    <t>CALIDAD EDUCATIVA  RECURSOS DE GRATUIDAD FONDOS DE SERVICIOS EDUCATIVOS DEL MCPIO DE PASTO SIN SITUACION DE FONDOS</t>
  </si>
  <si>
    <t>23010101012901</t>
  </si>
  <si>
    <t xml:space="preserve">Calidad educativa recursos de gratuidad fondos de servicios educativos del mcpio de pasto </t>
  </si>
  <si>
    <t>2301010107</t>
  </si>
  <si>
    <t>SISTEMA GENERAL DE PARTICIPACIONES  - PROPOSITO GENERAL - OTROS SECTORES</t>
  </si>
  <si>
    <t>230101010701</t>
  </si>
  <si>
    <t>Formación Artística y Desarrollo de Habilidades</t>
  </si>
  <si>
    <t>230101010702</t>
  </si>
  <si>
    <t>SERVICIOS PUBLICOS  ( Establecimientos Educativos)</t>
  </si>
  <si>
    <t>2301010107021</t>
  </si>
  <si>
    <t>Energia y alumbrado publico</t>
  </si>
  <si>
    <t>2301010107022</t>
  </si>
  <si>
    <t>Acueducto, aseo y alcantarillado</t>
  </si>
  <si>
    <t>2301010109</t>
  </si>
  <si>
    <t>RECURSOS PROPIOS</t>
  </si>
  <si>
    <t>230101010901</t>
  </si>
  <si>
    <t xml:space="preserve">Capacitación  personal del sector - viaticos y gastos de viaje </t>
  </si>
  <si>
    <t>230101010902</t>
  </si>
  <si>
    <t>230101010903</t>
  </si>
  <si>
    <t>230101010904</t>
  </si>
  <si>
    <t>Mejoramiento de calidad y cobertura educativa- poblacion desplazada</t>
  </si>
  <si>
    <t>230101010905</t>
  </si>
  <si>
    <t>230101010906</t>
  </si>
  <si>
    <t xml:space="preserve">Contrato prestación de servicios </t>
  </si>
  <si>
    <t>230101010907</t>
  </si>
  <si>
    <t>2301010119</t>
  </si>
  <si>
    <t>RECURSOS VENTA DE ACTIVOS</t>
  </si>
  <si>
    <t>230101011901</t>
  </si>
  <si>
    <t>230101011902</t>
  </si>
  <si>
    <t>Dotación de Canasta y Mobiliario Educativo</t>
  </si>
  <si>
    <t>230101011903</t>
  </si>
  <si>
    <t>Preinversión, Estudio, Diseños, Asesoría e Interventoria</t>
  </si>
  <si>
    <t>231701</t>
  </si>
  <si>
    <t>23170101</t>
  </si>
  <si>
    <t>LINEA ESTRATEGICA PROGRESO SOCIAL INCLUYENTE</t>
  </si>
  <si>
    <t>2317010101</t>
  </si>
  <si>
    <t>Educación con Calidad y Equidad para la Transformación Social</t>
  </si>
  <si>
    <t>231701010101</t>
  </si>
  <si>
    <t>SGP Educación</t>
  </si>
  <si>
    <t>23170101010101</t>
  </si>
  <si>
    <t>Prestación del Servicio</t>
  </si>
  <si>
    <t>2317010101010101</t>
  </si>
  <si>
    <t>Conectividad v.f.</t>
  </si>
  <si>
    <t>2317010101010102</t>
  </si>
  <si>
    <t>Homologación Administrativos</t>
  </si>
  <si>
    <t>2317010101010103</t>
  </si>
  <si>
    <t>Sueldo Personal Docente</t>
  </si>
  <si>
    <t>2317010101010104</t>
  </si>
  <si>
    <t>Horas Extras y Días Festivos personal administrativo</t>
  </si>
  <si>
    <t>2317010101010105</t>
  </si>
  <si>
    <t>Horas Extras y Días Festivos personal docente</t>
  </si>
  <si>
    <t>2317010101010107</t>
  </si>
  <si>
    <t>Arrendamientos vigencias expiradas</t>
  </si>
  <si>
    <t>2317010101010108</t>
  </si>
  <si>
    <t xml:space="preserve">Conserjería, Aseo y Vigilancia Vigencia Expirada </t>
  </si>
  <si>
    <t>2317010101010109</t>
  </si>
  <si>
    <t>Prestación de Servicios sin situación de fondos v.a.</t>
  </si>
  <si>
    <t>Transporte Escolar</t>
  </si>
  <si>
    <t>23170101010102</t>
  </si>
  <si>
    <t>Calidad Educativa</t>
  </si>
  <si>
    <t>2317010101010201</t>
  </si>
  <si>
    <t>2317010101010202</t>
  </si>
  <si>
    <t>2317010101010203</t>
  </si>
  <si>
    <t>Fondo de Servicios Educativos</t>
  </si>
  <si>
    <t>231701010159</t>
  </si>
  <si>
    <t xml:space="preserve">COFINANCIACION NACIONAL </t>
  </si>
  <si>
    <t>23170101015901</t>
  </si>
  <si>
    <t>Proyectos de Infraestructura Educativa y Dotacion de los Est. Educativos Oficiales Urbanos y Rurales (Ley 21)</t>
  </si>
  <si>
    <t>Construcción, Ampliación y Adecuación Infraestructura Educativa v.a.</t>
  </si>
  <si>
    <t>CALIDAD</t>
  </si>
  <si>
    <t>PRESTACION DEL SERVICIO</t>
  </si>
  <si>
    <t>CONECTIVIDAD</t>
  </si>
  <si>
    <t>GRATUIDAD</t>
  </si>
  <si>
    <t>TOTAL INGRESOS</t>
  </si>
  <si>
    <t>INGRESOS SEGÚN MARCO FISCAL DE MEDIANO PLAZO 2014</t>
  </si>
  <si>
    <t>2301010101222138</t>
  </si>
  <si>
    <t>Prima de Servicios</t>
  </si>
  <si>
    <t>2301010101221138</t>
  </si>
  <si>
    <t>230101010128071</t>
  </si>
  <si>
    <t>230101010128072</t>
  </si>
  <si>
    <t>23010101012809</t>
  </si>
  <si>
    <t>23010101012810</t>
  </si>
  <si>
    <t>CDP I TRIMESTRE</t>
  </si>
  <si>
    <t>MOVIMIENTOS</t>
  </si>
  <si>
    <t>SALDOS</t>
  </si>
  <si>
    <t>CDP II TRIMESTRE</t>
  </si>
  <si>
    <t>CDP III TRIMESTRE</t>
  </si>
  <si>
    <t>CDP IV TRIMESTRE</t>
  </si>
  <si>
    <t>F</t>
  </si>
  <si>
    <t>TOTAL APROPIADO</t>
  </si>
  <si>
    <t>23170101015902</t>
  </si>
  <si>
    <t>CSE</t>
  </si>
  <si>
    <t>NEE</t>
  </si>
  <si>
    <t>IE</t>
  </si>
  <si>
    <t>TE</t>
  </si>
  <si>
    <t>TIC</t>
  </si>
  <si>
    <t>GC</t>
  </si>
  <si>
    <t>JA</t>
  </si>
  <si>
    <t>SI</t>
  </si>
  <si>
    <t>VAR</t>
  </si>
  <si>
    <t>BIL</t>
  </si>
  <si>
    <t>ESCC</t>
  </si>
  <si>
    <t>EFM</t>
  </si>
  <si>
    <t>VCA</t>
  </si>
  <si>
    <t>NOMBRE</t>
  </si>
  <si>
    <t xml:space="preserve">Arrendamientos  </t>
  </si>
  <si>
    <t>RUBRO PPTAL</t>
  </si>
  <si>
    <t>2317010101010106</t>
  </si>
  <si>
    <t>2317010101010110</t>
  </si>
  <si>
    <t>Seguros</t>
  </si>
  <si>
    <t>APROPIACION INICIAL</t>
  </si>
  <si>
    <t>230101010908</t>
  </si>
  <si>
    <t>231701010109</t>
  </si>
  <si>
    <t>Infraestructura Educativa</t>
  </si>
  <si>
    <t>23170101010902</t>
  </si>
  <si>
    <t>CUOTA DE ADMON</t>
  </si>
  <si>
    <t>2317010101010111</t>
  </si>
  <si>
    <t>Fortalecimeinto de Tecnología de información y comunicación</t>
  </si>
  <si>
    <t>2317010101010204</t>
  </si>
  <si>
    <t>Servicios públicos energía y alumbrado eléctrico</t>
  </si>
  <si>
    <t>231701010107</t>
  </si>
  <si>
    <t>23170101010701</t>
  </si>
  <si>
    <t>23170101010702</t>
  </si>
  <si>
    <t>2317010101070201</t>
  </si>
  <si>
    <t>2317010101070202</t>
  </si>
  <si>
    <t>2317010101070203</t>
  </si>
  <si>
    <t>Sistema General de participaciones propósito general otros sectores</t>
  </si>
  <si>
    <t>23170101010901</t>
  </si>
  <si>
    <t>23170101010903</t>
  </si>
  <si>
    <t>Servicios públicos calidad educativa</t>
  </si>
  <si>
    <t>2317010101090301</t>
  </si>
  <si>
    <t>2317010101090302</t>
  </si>
  <si>
    <t>Energía y alumbrado público</t>
  </si>
  <si>
    <t>231701010171</t>
  </si>
  <si>
    <t>23170101017101</t>
  </si>
  <si>
    <t>23170101017102</t>
  </si>
  <si>
    <t>2317010101710201</t>
  </si>
  <si>
    <t>Prestación del servicio</t>
  </si>
  <si>
    <t>23170101017301</t>
  </si>
  <si>
    <t>23170101017302</t>
  </si>
  <si>
    <t>2317010101730201</t>
  </si>
  <si>
    <t>231701010173</t>
  </si>
  <si>
    <t>Sistema general de participaciones educación fenecimiento de reservas</t>
  </si>
  <si>
    <t>2317010101070204</t>
  </si>
  <si>
    <t>230101011904</t>
  </si>
  <si>
    <t>230101011905</t>
  </si>
  <si>
    <t>230101011906</t>
  </si>
  <si>
    <t>Contratos de Prestación de Servicios</t>
  </si>
  <si>
    <t>Adquisición de Bienes Software Inspección y Vigilancia</t>
  </si>
  <si>
    <t>Construcción, ampliación y adecuación de infraestructura educativa</t>
  </si>
  <si>
    <t>SGP Otros sectores fenecimiento de reservas</t>
  </si>
  <si>
    <t xml:space="preserve">NEE </t>
  </si>
  <si>
    <t>Construcción, ampliación y adecuación de Infraestructura Educativa</t>
  </si>
  <si>
    <t>Arrendamiento de Infraestructura Educativa</t>
  </si>
  <si>
    <t>230101011907</t>
  </si>
  <si>
    <t>230101011908</t>
  </si>
  <si>
    <t>2317010101010205</t>
  </si>
  <si>
    <t>Otros gastos por adquisición de bienes</t>
  </si>
  <si>
    <t>230101010909</t>
  </si>
  <si>
    <t>230101010910</t>
  </si>
  <si>
    <t>Otros gastos por adquisición de bienes - Calidad</t>
  </si>
  <si>
    <t>2317010101010206</t>
  </si>
  <si>
    <t>EJECUTADO</t>
  </si>
  <si>
    <t>Cuadrado a 30/06/2014</t>
  </si>
  <si>
    <t>Provisión Ascensos Escalafon Directivo Docente</t>
  </si>
  <si>
    <t>Concurso de méritos docentes orientadores</t>
  </si>
  <si>
    <t>2317010101010112</t>
  </si>
  <si>
    <t>2317010101010113</t>
  </si>
  <si>
    <t>2317010101010114</t>
  </si>
  <si>
    <t>2301010123</t>
  </si>
  <si>
    <t>RENDIMIENTOS FINANCIEROS SGP</t>
  </si>
  <si>
    <t>23010101230101</t>
  </si>
  <si>
    <t>23010101230102</t>
  </si>
  <si>
    <t>230101012301</t>
  </si>
  <si>
    <t>Bonificación docentes Decreto 1566 de 2014</t>
  </si>
  <si>
    <t>Bonificación directivos docentes Decreto 1566  2014</t>
  </si>
  <si>
    <t>N</t>
  </si>
  <si>
    <t>G</t>
  </si>
  <si>
    <t>P</t>
  </si>
  <si>
    <t>2301010159</t>
  </si>
  <si>
    <t>230101015901</t>
  </si>
  <si>
    <t>FC</t>
  </si>
  <si>
    <t>Formación para la implementación de proyectos transversales</t>
  </si>
  <si>
    <t>COFINANCIACION NACIONAL MEN BID</t>
  </si>
  <si>
    <t xml:space="preserve">2301010101221139  </t>
  </si>
  <si>
    <t>2301010101222139</t>
  </si>
  <si>
    <t>GTOS.FUNCIONAMIENTO</t>
  </si>
  <si>
    <t>Arrendamiento de Infraestructura SEM</t>
  </si>
  <si>
    <t>230101010911</t>
  </si>
  <si>
    <t>2317010101730202</t>
  </si>
  <si>
    <t>Implementación y Apoyo a Planes de Mejoramiento - calidad</t>
  </si>
  <si>
    <t>230101010912</t>
  </si>
  <si>
    <t>230101010913</t>
  </si>
  <si>
    <t>230101010914</t>
  </si>
  <si>
    <t>Alivios Educativos - Prestación del Servicio</t>
  </si>
  <si>
    <t>Dotaciòn de canasta y mobiliario educativo - Calidad</t>
  </si>
  <si>
    <t>230101010915</t>
  </si>
  <si>
    <t>23010101230103</t>
  </si>
  <si>
    <t>23010101230104</t>
  </si>
  <si>
    <t>Rendimientos financieros SGP Propósito general - Otros sectores</t>
  </si>
  <si>
    <t>Construcción, ampliación y adecuación infraestructura educativa - Calidad</t>
  </si>
  <si>
    <t>Cuadrado a 20/11/2014</t>
  </si>
  <si>
    <t>2301010127</t>
  </si>
  <si>
    <t>230101012701</t>
  </si>
  <si>
    <t>230101010916</t>
  </si>
  <si>
    <t>230101010917</t>
  </si>
  <si>
    <t>2301010101233</t>
  </si>
  <si>
    <t>Conectividad Vigencia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</si>
</sst>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1"/>
      <color rgb="FF7030A0"/>
      <name val="Calibri"/>
      <family val="2"/>
      <scheme val="minor"/>
    </font>
    <font>
      <sz val="9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9900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6" tint="-0.249977111117893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 applyFill="1" applyBorder="1"/>
    <xf numFmtId="43" fontId="4" fillId="0" borderId="0" xfId="1" applyFont="1" applyFill="1" applyBorder="1"/>
    <xf numFmtId="43" fontId="5" fillId="0" borderId="1" xfId="1" applyFont="1" applyFill="1" applyBorder="1"/>
    <xf numFmtId="43" fontId="2" fillId="0" borderId="0" xfId="0" applyNumberFormat="1" applyFont="1" applyFill="1" applyBorder="1"/>
    <xf numFmtId="1" fontId="6" fillId="2" borderId="1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/>
    <xf numFmtId="1" fontId="6" fillId="2" borderId="3" xfId="0" applyNumberFormat="1" applyFont="1" applyFill="1" applyBorder="1" applyAlignment="1">
      <alignment horizontal="left" wrapText="1"/>
    </xf>
    <xf numFmtId="1" fontId="6" fillId="2" borderId="0" xfId="0" applyNumberFormat="1" applyFont="1" applyFill="1" applyBorder="1" applyAlignment="1">
      <alignment horizontal="left" wrapText="1"/>
    </xf>
    <xf numFmtId="43" fontId="3" fillId="0" borderId="0" xfId="1" applyFont="1" applyFill="1" applyBorder="1"/>
    <xf numFmtId="1" fontId="8" fillId="3" borderId="1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vertical="center"/>
    </xf>
    <xf numFmtId="43" fontId="7" fillId="4" borderId="1" xfId="1" applyFont="1" applyFill="1" applyBorder="1" applyAlignment="1">
      <alignment vertical="center"/>
    </xf>
    <xf numFmtId="1" fontId="6" fillId="5" borderId="1" xfId="0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vertical="center" wrapText="1"/>
    </xf>
    <xf numFmtId="43" fontId="7" fillId="5" borderId="1" xfId="1" applyFont="1" applyFill="1" applyBorder="1" applyAlignment="1">
      <alignment vertical="center" wrapText="1"/>
    </xf>
    <xf numFmtId="1" fontId="6" fillId="6" borderId="1" xfId="0" applyNumberFormat="1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vertical="center" wrapText="1"/>
    </xf>
    <xf numFmtId="4" fontId="7" fillId="6" borderId="1" xfId="1" applyNumberFormat="1" applyFont="1" applyFill="1" applyBorder="1" applyAlignment="1">
      <alignment vertical="center" wrapText="1"/>
    </xf>
    <xf numFmtId="1" fontId="6" fillId="7" borderId="2" xfId="0" applyNumberFormat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43" fontId="5" fillId="8" borderId="1" xfId="1" applyFont="1" applyFill="1" applyBorder="1"/>
    <xf numFmtId="1" fontId="6" fillId="9" borderId="2" xfId="0" applyNumberFormat="1" applyFont="1" applyFill="1" applyBorder="1" applyAlignment="1">
      <alignment horizontal="left" vertical="center" wrapText="1"/>
    </xf>
    <xf numFmtId="43" fontId="5" fillId="9" borderId="1" xfId="1" applyFont="1" applyFill="1" applyBorder="1"/>
    <xf numFmtId="0" fontId="6" fillId="9" borderId="1" xfId="0" applyFont="1" applyFill="1" applyBorder="1" applyAlignment="1">
      <alignment horizontal="left" vertical="center" wrapText="1"/>
    </xf>
    <xf numFmtId="1" fontId="8" fillId="9" borderId="2" xfId="0" applyNumberFormat="1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3" fontId="8" fillId="9" borderId="1" xfId="0" applyNumberFormat="1" applyFont="1" applyFill="1" applyBorder="1" applyAlignment="1">
      <alignment horizontal="left" vertical="center" wrapText="1"/>
    </xf>
    <xf numFmtId="49" fontId="8" fillId="9" borderId="2" xfId="0" applyNumberFormat="1" applyFont="1" applyFill="1" applyBorder="1" applyAlignment="1">
      <alignment horizontal="left" vertical="center"/>
    </xf>
    <xf numFmtId="49" fontId="8" fillId="9" borderId="2" xfId="0" applyNumberFormat="1" applyFont="1" applyFill="1" applyBorder="1" applyAlignment="1">
      <alignment horizontal="left" vertical="center" wrapText="1"/>
    </xf>
    <xf numFmtId="49" fontId="6" fillId="9" borderId="2" xfId="0" applyNumberFormat="1" applyFont="1" applyFill="1" applyBorder="1" applyAlignment="1">
      <alignment horizontal="left" vertical="center" wrapText="1"/>
    </xf>
    <xf numFmtId="49" fontId="6" fillId="6" borderId="2" xfId="0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43" fontId="5" fillId="6" borderId="1" xfId="1" applyFont="1" applyFill="1" applyBorder="1"/>
    <xf numFmtId="49" fontId="8" fillId="6" borderId="2" xfId="0" applyNumberFormat="1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49" fontId="6" fillId="10" borderId="2" xfId="0" applyNumberFormat="1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left" vertical="center" wrapText="1"/>
    </xf>
    <xf numFmtId="4" fontId="7" fillId="10" borderId="1" xfId="1" applyNumberFormat="1" applyFont="1" applyFill="1" applyBorder="1" applyAlignment="1">
      <alignment vertical="center" wrapText="1"/>
    </xf>
    <xf numFmtId="49" fontId="8" fillId="10" borderId="2" xfId="0" applyNumberFormat="1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43" fontId="5" fillId="10" borderId="1" xfId="1" applyNumberFormat="1" applyFont="1" applyFill="1" applyBorder="1"/>
    <xf numFmtId="49" fontId="6" fillId="11" borderId="2" xfId="0" applyNumberFormat="1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center" wrapText="1"/>
    </xf>
    <xf numFmtId="43" fontId="5" fillId="11" borderId="1" xfId="1" applyNumberFormat="1" applyFont="1" applyFill="1" applyBorder="1"/>
    <xf numFmtId="49" fontId="8" fillId="11" borderId="2" xfId="0" applyNumberFormat="1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4" fontId="7" fillId="3" borderId="1" xfId="1" applyNumberFormat="1" applyFont="1" applyFill="1" applyBorder="1" applyAlignment="1">
      <alignment vertical="center" wrapText="1"/>
    </xf>
    <xf numFmtId="49" fontId="8" fillId="3" borderId="2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6" fillId="12" borderId="2" xfId="0" applyNumberFormat="1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left" vertical="center" wrapText="1"/>
    </xf>
    <xf numFmtId="4" fontId="7" fillId="12" borderId="1" xfId="1" applyNumberFormat="1" applyFont="1" applyFill="1" applyBorder="1" applyAlignment="1">
      <alignment wrapText="1"/>
    </xf>
    <xf numFmtId="49" fontId="8" fillId="12" borderId="5" xfId="0" applyNumberFormat="1" applyFont="1" applyFill="1" applyBorder="1" applyAlignment="1">
      <alignment horizontal="left" wrapText="1"/>
    </xf>
    <xf numFmtId="0" fontId="8" fillId="12" borderId="1" xfId="0" applyFont="1" applyFill="1" applyBorder="1" applyAlignment="1">
      <alignment horizontal="left" vertical="center" wrapText="1"/>
    </xf>
    <xf numFmtId="49" fontId="8" fillId="12" borderId="2" xfId="0" applyNumberFormat="1" applyFont="1" applyFill="1" applyBorder="1" applyAlignment="1">
      <alignment horizontal="left" wrapText="1"/>
    </xf>
    <xf numFmtId="49" fontId="6" fillId="13" borderId="2" xfId="0" applyNumberFormat="1" applyFont="1" applyFill="1" applyBorder="1" applyAlignment="1">
      <alignment horizontal="left" wrapText="1"/>
    </xf>
    <xf numFmtId="0" fontId="6" fillId="13" borderId="1" xfId="0" applyFont="1" applyFill="1" applyBorder="1" applyAlignment="1">
      <alignment horizontal="left" vertical="center" wrapText="1"/>
    </xf>
    <xf numFmtId="43" fontId="5" fillId="13" borderId="1" xfId="1" applyNumberFormat="1" applyFont="1" applyFill="1" applyBorder="1"/>
    <xf numFmtId="49" fontId="8" fillId="13" borderId="2" xfId="0" applyNumberFormat="1" applyFont="1" applyFill="1" applyBorder="1" applyAlignment="1">
      <alignment horizontal="left" wrapText="1"/>
    </xf>
    <xf numFmtId="0" fontId="8" fillId="13" borderId="1" xfId="0" applyFont="1" applyFill="1" applyBorder="1" applyAlignment="1">
      <alignment horizontal="left" vertical="center" wrapText="1"/>
    </xf>
    <xf numFmtId="43" fontId="3" fillId="0" borderId="0" xfId="1" applyNumberFormat="1" applyFont="1" applyFill="1" applyBorder="1"/>
    <xf numFmtId="0" fontId="14" fillId="0" borderId="0" xfId="0" applyFont="1" applyFill="1" applyBorder="1" applyAlignment="1">
      <alignment vertical="top" wrapText="1"/>
    </xf>
    <xf numFmtId="4" fontId="13" fillId="0" borderId="0" xfId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center" wrapText="1"/>
    </xf>
    <xf numFmtId="4" fontId="6" fillId="0" borderId="0" xfId="1" applyNumberFormat="1" applyFont="1" applyFill="1" applyBorder="1" applyAlignment="1">
      <alignment wrapText="1"/>
    </xf>
    <xf numFmtId="43" fontId="14" fillId="0" borderId="0" xfId="1" applyNumberFormat="1" applyFont="1" applyFill="1" applyBorder="1"/>
    <xf numFmtId="43" fontId="14" fillId="0" borderId="0" xfId="1" applyFont="1" applyFill="1" applyBorder="1"/>
    <xf numFmtId="4" fontId="8" fillId="0" borderId="0" xfId="1" applyNumberFormat="1" applyFont="1" applyFill="1" applyBorder="1" applyAlignment="1">
      <alignment wrapText="1"/>
    </xf>
    <xf numFmtId="0" fontId="5" fillId="0" borderId="0" xfId="0" applyFont="1" applyFill="1" applyBorder="1"/>
    <xf numFmtId="0" fontId="15" fillId="0" borderId="0" xfId="0" applyFont="1" applyFill="1" applyBorder="1"/>
    <xf numFmtId="0" fontId="13" fillId="15" borderId="1" xfId="0" applyFont="1" applyFill="1" applyBorder="1" applyAlignment="1">
      <alignment horizontal="left"/>
    </xf>
    <xf numFmtId="43" fontId="0" fillId="16" borderId="1" xfId="0" applyNumberFormat="1" applyFill="1" applyBorder="1"/>
    <xf numFmtId="0" fontId="13" fillId="17" borderId="1" xfId="0" applyFont="1" applyFill="1" applyBorder="1" applyAlignment="1">
      <alignment horizontal="left"/>
    </xf>
    <xf numFmtId="0" fontId="13" fillId="18" borderId="1" xfId="0" applyFont="1" applyFill="1" applyBorder="1" applyAlignment="1">
      <alignment horizontal="left"/>
    </xf>
    <xf numFmtId="0" fontId="13" fillId="19" borderId="1" xfId="0" applyFont="1" applyFill="1" applyBorder="1" applyAlignment="1">
      <alignment horizontal="left"/>
    </xf>
    <xf numFmtId="0" fontId="12" fillId="20" borderId="1" xfId="0" applyFont="1" applyFill="1" applyBorder="1" applyAlignment="1">
      <alignment horizontal="left"/>
    </xf>
    <xf numFmtId="43" fontId="16" fillId="21" borderId="1" xfId="0" applyNumberFormat="1" applyFont="1" applyFill="1" applyBorder="1"/>
    <xf numFmtId="43" fontId="2" fillId="0" borderId="0" xfId="1" applyFont="1" applyFill="1" applyBorder="1"/>
    <xf numFmtId="49" fontId="7" fillId="9" borderId="1" xfId="0" applyNumberFormat="1" applyFont="1" applyFill="1" applyBorder="1" applyAlignment="1">
      <alignment horizontal="left" wrapText="1"/>
    </xf>
    <xf numFmtId="0" fontId="7" fillId="9" borderId="1" xfId="0" applyFont="1" applyFill="1" applyBorder="1" applyAlignment="1">
      <alignment horizontal="left" vertical="center" wrapText="1"/>
    </xf>
    <xf numFmtId="4" fontId="7" fillId="9" borderId="1" xfId="1" applyNumberFormat="1" applyFont="1" applyFill="1" applyBorder="1" applyAlignment="1">
      <alignment wrapText="1"/>
    </xf>
    <xf numFmtId="49" fontId="7" fillId="10" borderId="1" xfId="0" applyNumberFormat="1" applyFont="1" applyFill="1" applyBorder="1" applyAlignment="1">
      <alignment horizontal="left" wrapText="1"/>
    </xf>
    <xf numFmtId="0" fontId="7" fillId="10" borderId="1" xfId="0" applyFont="1" applyFill="1" applyBorder="1" applyAlignment="1">
      <alignment horizontal="left" vertical="center" wrapText="1"/>
    </xf>
    <xf numFmtId="43" fontId="7" fillId="10" borderId="1" xfId="1" applyFont="1" applyFill="1" applyBorder="1" applyAlignment="1">
      <alignment horizontal="right" vertical="center" wrapText="1"/>
    </xf>
    <xf numFmtId="49" fontId="7" fillId="14" borderId="2" xfId="0" applyNumberFormat="1" applyFont="1" applyFill="1" applyBorder="1" applyAlignment="1">
      <alignment horizontal="left" wrapText="1"/>
    </xf>
    <xf numFmtId="49" fontId="7" fillId="14" borderId="1" xfId="0" applyNumberFormat="1" applyFont="1" applyFill="1" applyBorder="1" applyAlignment="1">
      <alignment horizontal="left" wrapText="1"/>
    </xf>
    <xf numFmtId="39" fontId="7" fillId="14" borderId="1" xfId="1" applyNumberFormat="1" applyFont="1" applyFill="1" applyBorder="1" applyAlignment="1">
      <alignment horizontal="right" wrapText="1"/>
    </xf>
    <xf numFmtId="0" fontId="17" fillId="0" borderId="0" xfId="0" applyFont="1" applyFill="1" applyBorder="1"/>
    <xf numFmtId="43" fontId="5" fillId="0" borderId="2" xfId="1" applyFont="1" applyFill="1" applyBorder="1"/>
    <xf numFmtId="4" fontId="7" fillId="2" borderId="2" xfId="1" applyNumberFormat="1" applyFont="1" applyFill="1" applyBorder="1" applyAlignment="1">
      <alignment horizontal="right" vertical="center" wrapText="1"/>
    </xf>
    <xf numFmtId="43" fontId="7" fillId="4" borderId="2" xfId="1" applyFont="1" applyFill="1" applyBorder="1" applyAlignment="1">
      <alignment vertical="center"/>
    </xf>
    <xf numFmtId="43" fontId="7" fillId="5" borderId="2" xfId="1" applyFont="1" applyFill="1" applyBorder="1" applyAlignment="1">
      <alignment vertical="center" wrapText="1"/>
    </xf>
    <xf numFmtId="4" fontId="7" fillId="6" borderId="2" xfId="1" applyNumberFormat="1" applyFont="1" applyFill="1" applyBorder="1" applyAlignment="1">
      <alignment vertical="center" wrapText="1"/>
    </xf>
    <xf numFmtId="43" fontId="5" fillId="8" borderId="2" xfId="1" applyFont="1" applyFill="1" applyBorder="1"/>
    <xf numFmtId="43" fontId="5" fillId="9" borderId="2" xfId="1" applyFont="1" applyFill="1" applyBorder="1"/>
    <xf numFmtId="43" fontId="5" fillId="6" borderId="2" xfId="1" applyFont="1" applyFill="1" applyBorder="1"/>
    <xf numFmtId="4" fontId="7" fillId="10" borderId="2" xfId="1" applyNumberFormat="1" applyFont="1" applyFill="1" applyBorder="1" applyAlignment="1">
      <alignment vertical="center" wrapText="1"/>
    </xf>
    <xf numFmtId="43" fontId="5" fillId="10" borderId="2" xfId="1" applyNumberFormat="1" applyFont="1" applyFill="1" applyBorder="1"/>
    <xf numFmtId="43" fontId="5" fillId="11" borderId="2" xfId="1" applyNumberFormat="1" applyFont="1" applyFill="1" applyBorder="1"/>
    <xf numFmtId="4" fontId="7" fillId="3" borderId="2" xfId="1" applyNumberFormat="1" applyFont="1" applyFill="1" applyBorder="1" applyAlignment="1">
      <alignment vertical="center" wrapText="1"/>
    </xf>
    <xf numFmtId="4" fontId="7" fillId="12" borderId="2" xfId="1" applyNumberFormat="1" applyFont="1" applyFill="1" applyBorder="1" applyAlignment="1">
      <alignment wrapText="1"/>
    </xf>
    <xf numFmtId="43" fontId="5" fillId="13" borderId="2" xfId="1" applyNumberFormat="1" applyFont="1" applyFill="1" applyBorder="1"/>
    <xf numFmtId="4" fontId="7" fillId="9" borderId="2" xfId="1" applyNumberFormat="1" applyFont="1" applyFill="1" applyBorder="1" applyAlignment="1">
      <alignment wrapText="1"/>
    </xf>
    <xf numFmtId="43" fontId="7" fillId="10" borderId="2" xfId="1" applyFont="1" applyFill="1" applyBorder="1" applyAlignment="1">
      <alignment horizontal="right" vertical="center" wrapText="1"/>
    </xf>
    <xf numFmtId="39" fontId="7" fillId="14" borderId="2" xfId="1" applyNumberFormat="1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43" fontId="17" fillId="0" borderId="1" xfId="1" applyFont="1" applyFill="1" applyBorder="1" applyAlignment="1">
      <alignment horizontal="center"/>
    </xf>
    <xf numFmtId="43" fontId="5" fillId="11" borderId="1" xfId="1" applyFont="1" applyFill="1" applyBorder="1"/>
    <xf numFmtId="43" fontId="7" fillId="3" borderId="1" xfId="1" applyFont="1" applyFill="1" applyBorder="1" applyAlignment="1">
      <alignment vertical="center" wrapText="1"/>
    </xf>
    <xf numFmtId="43" fontId="7" fillId="12" borderId="1" xfId="1" applyFont="1" applyFill="1" applyBorder="1" applyAlignment="1">
      <alignment wrapText="1"/>
    </xf>
    <xf numFmtId="43" fontId="13" fillId="0" borderId="0" xfId="1" applyFont="1" applyFill="1" applyBorder="1" applyAlignment="1">
      <alignment wrapText="1"/>
    </xf>
    <xf numFmtId="43" fontId="6" fillId="0" borderId="0" xfId="1" applyFont="1" applyFill="1" applyBorder="1" applyAlignment="1">
      <alignment wrapText="1"/>
    </xf>
    <xf numFmtId="0" fontId="5" fillId="0" borderId="2" xfId="0" applyFont="1" applyFill="1" applyBorder="1" applyAlignment="1"/>
    <xf numFmtId="0" fontId="5" fillId="0" borderId="4" xfId="0" applyFont="1" applyFill="1" applyBorder="1" applyAlignment="1"/>
    <xf numFmtId="4" fontId="21" fillId="0" borderId="0" xfId="0" applyNumberFormat="1" applyFont="1"/>
    <xf numFmtId="43" fontId="7" fillId="2" borderId="1" xfId="1" applyFont="1" applyFill="1" applyBorder="1" applyAlignment="1">
      <alignment horizontal="right" vertical="center" wrapText="1"/>
    </xf>
    <xf numFmtId="43" fontId="7" fillId="10" borderId="1" xfId="1" applyFont="1" applyFill="1" applyBorder="1" applyAlignment="1">
      <alignment vertical="center" wrapText="1"/>
    </xf>
    <xf numFmtId="43" fontId="5" fillId="10" borderId="1" xfId="1" applyFont="1" applyFill="1" applyBorder="1"/>
    <xf numFmtId="43" fontId="7" fillId="9" borderId="1" xfId="1" applyFont="1" applyFill="1" applyBorder="1" applyAlignment="1">
      <alignment wrapText="1"/>
    </xf>
    <xf numFmtId="43" fontId="2" fillId="25" borderId="1" xfId="0" applyNumberFormat="1" applyFont="1" applyFill="1" applyBorder="1"/>
    <xf numFmtId="49" fontId="7" fillId="24" borderId="2" xfId="0" applyNumberFormat="1" applyFont="1" applyFill="1" applyBorder="1" applyAlignment="1">
      <alignment horizontal="left" wrapText="1"/>
    </xf>
    <xf numFmtId="0" fontId="7" fillId="24" borderId="1" xfId="0" applyFont="1" applyFill="1" applyBorder="1" applyAlignment="1">
      <alignment horizontal="left" vertical="center" wrapText="1"/>
    </xf>
    <xf numFmtId="4" fontId="7" fillId="24" borderId="2" xfId="1" applyNumberFormat="1" applyFont="1" applyFill="1" applyBorder="1" applyAlignment="1">
      <alignment wrapText="1"/>
    </xf>
    <xf numFmtId="43" fontId="15" fillId="23" borderId="0" xfId="0" applyNumberFormat="1" applyFont="1" applyFill="1" applyBorder="1"/>
    <xf numFmtId="43" fontId="23" fillId="0" borderId="0" xfId="1" applyFont="1"/>
    <xf numFmtId="43" fontId="3" fillId="0" borderId="2" xfId="1" applyFont="1" applyFill="1" applyBorder="1"/>
    <xf numFmtId="4" fontId="11" fillId="26" borderId="2" xfId="1" applyNumberFormat="1" applyFont="1" applyFill="1" applyBorder="1" applyAlignment="1">
      <alignment wrapText="1"/>
    </xf>
    <xf numFmtId="49" fontId="7" fillId="26" borderId="2" xfId="0" applyNumberFormat="1" applyFont="1" applyFill="1" applyBorder="1" applyAlignment="1">
      <alignment horizontal="left" wrapText="1"/>
    </xf>
    <xf numFmtId="0" fontId="7" fillId="26" borderId="1" xfId="0" applyFont="1" applyFill="1" applyBorder="1" applyAlignment="1">
      <alignment horizontal="left" vertical="center" wrapText="1"/>
    </xf>
    <xf numFmtId="4" fontId="7" fillId="26" borderId="2" xfId="1" applyNumberFormat="1" applyFont="1" applyFill="1" applyBorder="1" applyAlignment="1">
      <alignment wrapText="1"/>
    </xf>
    <xf numFmtId="2" fontId="2" fillId="0" borderId="0" xfId="0" applyNumberFormat="1" applyFont="1" applyFill="1" applyBorder="1"/>
    <xf numFmtId="49" fontId="11" fillId="27" borderId="1" xfId="0" applyNumberFormat="1" applyFont="1" applyFill="1" applyBorder="1" applyAlignment="1">
      <alignment horizontal="left" wrapText="1"/>
    </xf>
    <xf numFmtId="43" fontId="11" fillId="27" borderId="1" xfId="1" applyFont="1" applyFill="1" applyBorder="1" applyAlignment="1">
      <alignment horizontal="left" wrapText="1"/>
    </xf>
    <xf numFmtId="4" fontId="13" fillId="28" borderId="1" xfId="1" applyNumberFormat="1" applyFont="1" applyFill="1" applyBorder="1" applyAlignment="1">
      <alignment wrapText="1"/>
    </xf>
    <xf numFmtId="49" fontId="11" fillId="22" borderId="1" xfId="0" applyNumberFormat="1" applyFont="1" applyFill="1" applyBorder="1" applyAlignment="1">
      <alignment horizontal="left" wrapText="1"/>
    </xf>
    <xf numFmtId="43" fontId="11" fillId="22" borderId="1" xfId="1" applyFont="1" applyFill="1" applyBorder="1" applyAlignment="1">
      <alignment horizontal="left" wrapText="1"/>
    </xf>
    <xf numFmtId="43" fontId="7" fillId="26" borderId="2" xfId="1" applyFont="1" applyFill="1" applyBorder="1" applyAlignment="1">
      <alignment wrapText="1"/>
    </xf>
    <xf numFmtId="43" fontId="7" fillId="24" borderId="2" xfId="1" applyFont="1" applyFill="1" applyBorder="1" applyAlignment="1">
      <alignment wrapText="1"/>
    </xf>
    <xf numFmtId="43" fontId="7" fillId="14" borderId="2" xfId="1" applyFont="1" applyFill="1" applyBorder="1" applyAlignment="1">
      <alignment horizontal="right" wrapText="1"/>
    </xf>
    <xf numFmtId="43" fontId="14" fillId="0" borderId="0" xfId="1" applyFont="1" applyFill="1" applyBorder="1" applyAlignment="1">
      <alignment vertical="top" wrapText="1"/>
    </xf>
    <xf numFmtId="43" fontId="7" fillId="9" borderId="2" xfId="1" applyFont="1" applyFill="1" applyBorder="1" applyAlignment="1">
      <alignment wrapText="1"/>
    </xf>
    <xf numFmtId="43" fontId="24" fillId="3" borderId="2" xfId="1" applyFont="1" applyFill="1" applyBorder="1"/>
    <xf numFmtId="43" fontId="24" fillId="9" borderId="2" xfId="1" applyFont="1" applyFill="1" applyBorder="1"/>
    <xf numFmtId="43" fontId="24" fillId="9" borderId="2" xfId="1" applyNumberFormat="1" applyFont="1" applyFill="1" applyBorder="1"/>
    <xf numFmtId="43" fontId="24" fillId="6" borderId="2" xfId="1" applyFont="1" applyFill="1" applyBorder="1"/>
    <xf numFmtId="43" fontId="24" fillId="10" borderId="2" xfId="1" applyNumberFormat="1" applyFont="1" applyFill="1" applyBorder="1"/>
    <xf numFmtId="43" fontId="24" fillId="11" borderId="2" xfId="1" applyNumberFormat="1" applyFont="1" applyFill="1" applyBorder="1"/>
    <xf numFmtId="43" fontId="24" fillId="3" borderId="2" xfId="1" applyNumberFormat="1" applyFont="1" applyFill="1" applyBorder="1"/>
    <xf numFmtId="43" fontId="24" fillId="12" borderId="2" xfId="1" applyNumberFormat="1" applyFont="1" applyFill="1" applyBorder="1"/>
    <xf numFmtId="43" fontId="24" fillId="13" borderId="2" xfId="1" applyNumberFormat="1" applyFont="1" applyFill="1" applyBorder="1"/>
    <xf numFmtId="4" fontId="25" fillId="13" borderId="2" xfId="1" applyNumberFormat="1" applyFont="1" applyFill="1" applyBorder="1" applyAlignment="1">
      <alignment wrapText="1"/>
    </xf>
    <xf numFmtId="4" fontId="25" fillId="9" borderId="2" xfId="1" applyNumberFormat="1" applyFont="1" applyFill="1" applyBorder="1" applyAlignment="1">
      <alignment wrapText="1"/>
    </xf>
    <xf numFmtId="4" fontId="25" fillId="10" borderId="2" xfId="1" applyNumberFormat="1" applyFont="1" applyFill="1" applyBorder="1" applyAlignment="1">
      <alignment wrapText="1"/>
    </xf>
    <xf numFmtId="4" fontId="25" fillId="26" borderId="2" xfId="1" applyNumberFormat="1" applyFont="1" applyFill="1" applyBorder="1" applyAlignment="1">
      <alignment wrapText="1"/>
    </xf>
    <xf numFmtId="43" fontId="25" fillId="14" borderId="2" xfId="1" applyFont="1" applyFill="1" applyBorder="1" applyAlignment="1">
      <alignment horizontal="left" wrapText="1"/>
    </xf>
    <xf numFmtId="43" fontId="25" fillId="27" borderId="1" xfId="1" applyFont="1" applyFill="1" applyBorder="1" applyAlignment="1">
      <alignment horizontal="left" wrapText="1"/>
    </xf>
    <xf numFmtId="49" fontId="25" fillId="27" borderId="1" xfId="0" applyNumberFormat="1" applyFont="1" applyFill="1" applyBorder="1" applyAlignment="1">
      <alignment horizontal="left" wrapText="1"/>
    </xf>
    <xf numFmtId="49" fontId="25" fillId="9" borderId="1" xfId="0" applyNumberFormat="1" applyFont="1" applyFill="1" applyBorder="1" applyAlignment="1">
      <alignment horizontal="left" wrapText="1"/>
    </xf>
    <xf numFmtId="0" fontId="25" fillId="9" borderId="1" xfId="0" applyFont="1" applyFill="1" applyBorder="1" applyAlignment="1">
      <alignment horizontal="left" vertical="center" wrapText="1"/>
    </xf>
    <xf numFmtId="49" fontId="25" fillId="10" borderId="1" xfId="0" applyNumberFormat="1" applyFont="1" applyFill="1" applyBorder="1" applyAlignment="1">
      <alignment horizontal="left" vertical="center" wrapText="1"/>
    </xf>
    <xf numFmtId="0" fontId="25" fillId="10" borderId="2" xfId="0" applyFont="1" applyFill="1" applyBorder="1" applyAlignment="1">
      <alignment horizontal="left" vertical="center" wrapText="1"/>
    </xf>
    <xf numFmtId="49" fontId="25" fillId="10" borderId="1" xfId="0" applyNumberFormat="1" applyFont="1" applyFill="1" applyBorder="1" applyAlignment="1">
      <alignment horizontal="left" wrapText="1"/>
    </xf>
    <xf numFmtId="0" fontId="25" fillId="10" borderId="1" xfId="0" applyFont="1" applyFill="1" applyBorder="1" applyAlignment="1">
      <alignment horizontal="left" vertical="center" wrapText="1"/>
    </xf>
    <xf numFmtId="0" fontId="25" fillId="26" borderId="1" xfId="0" applyFont="1" applyFill="1" applyBorder="1" applyAlignment="1">
      <alignment horizontal="left" vertical="center" wrapText="1"/>
    </xf>
    <xf numFmtId="49" fontId="25" fillId="26" borderId="2" xfId="0" applyNumberFormat="1" applyFont="1" applyFill="1" applyBorder="1" applyAlignment="1">
      <alignment horizontal="left" wrapText="1"/>
    </xf>
    <xf numFmtId="49" fontId="25" fillId="24" borderId="2" xfId="0" applyNumberFormat="1" applyFont="1" applyFill="1" applyBorder="1" applyAlignment="1">
      <alignment horizontal="left" wrapText="1"/>
    </xf>
    <xf numFmtId="0" fontId="25" fillId="24" borderId="1" xfId="0" applyFont="1" applyFill="1" applyBorder="1" applyAlignment="1">
      <alignment horizontal="left" vertical="center" wrapText="1"/>
    </xf>
    <xf numFmtId="49" fontId="25" fillId="14" borderId="2" xfId="0" applyNumberFormat="1" applyFont="1" applyFill="1" applyBorder="1" applyAlignment="1">
      <alignment horizontal="left" wrapText="1"/>
    </xf>
    <xf numFmtId="49" fontId="25" fillId="14" borderId="1" xfId="0" applyNumberFormat="1" applyFont="1" applyFill="1" applyBorder="1" applyAlignment="1">
      <alignment horizontal="left" wrapText="1"/>
    </xf>
    <xf numFmtId="49" fontId="25" fillId="22" borderId="1" xfId="0" applyNumberFormat="1" applyFont="1" applyFill="1" applyBorder="1" applyAlignment="1">
      <alignment horizontal="left" wrapText="1"/>
    </xf>
    <xf numFmtId="43" fontId="25" fillId="22" borderId="1" xfId="1" applyFont="1" applyFill="1" applyBorder="1" applyAlignment="1">
      <alignment horizontal="left" wrapText="1"/>
    </xf>
    <xf numFmtId="43" fontId="25" fillId="9" borderId="2" xfId="1" applyFont="1" applyFill="1" applyBorder="1"/>
    <xf numFmtId="43" fontId="24" fillId="29" borderId="2" xfId="1" applyFont="1" applyFill="1" applyBorder="1"/>
    <xf numFmtId="43" fontId="24" fillId="12" borderId="1" xfId="1" applyNumberFormat="1" applyFont="1" applyFill="1" applyBorder="1"/>
    <xf numFmtId="43" fontId="24" fillId="30" borderId="2" xfId="1" applyFont="1" applyFill="1" applyBorder="1"/>
    <xf numFmtId="49" fontId="8" fillId="31" borderId="2" xfId="0" applyNumberFormat="1" applyFont="1" applyFill="1" applyBorder="1" applyAlignment="1">
      <alignment horizontal="left" wrapText="1"/>
    </xf>
    <xf numFmtId="0" fontId="8" fillId="31" borderId="1" xfId="0" applyFont="1" applyFill="1" applyBorder="1" applyAlignment="1">
      <alignment horizontal="left" vertical="center" wrapText="1"/>
    </xf>
    <xf numFmtId="4" fontId="25" fillId="31" borderId="2" xfId="1" applyNumberFormat="1" applyFont="1" applyFill="1" applyBorder="1" applyAlignment="1">
      <alignment wrapText="1"/>
    </xf>
    <xf numFmtId="49" fontId="6" fillId="31" borderId="2" xfId="0" applyNumberFormat="1" applyFont="1" applyFill="1" applyBorder="1" applyAlignment="1">
      <alignment horizontal="left" wrapText="1"/>
    </xf>
    <xf numFmtId="0" fontId="6" fillId="31" borderId="1" xfId="0" applyFont="1" applyFill="1" applyBorder="1" applyAlignment="1">
      <alignment horizontal="left" vertical="center" wrapText="1"/>
    </xf>
    <xf numFmtId="4" fontId="26" fillId="31" borderId="2" xfId="1" applyNumberFormat="1" applyFont="1" applyFill="1" applyBorder="1" applyAlignment="1">
      <alignment wrapText="1"/>
    </xf>
    <xf numFmtId="43" fontId="27" fillId="0" borderId="0" xfId="1" applyFont="1" applyFill="1" applyBorder="1" applyAlignment="1">
      <alignment vertical="top" wrapText="1"/>
    </xf>
    <xf numFmtId="4" fontId="7" fillId="24" borderId="1" xfId="1" applyNumberFormat="1" applyFont="1" applyFill="1" applyBorder="1" applyAlignment="1">
      <alignment wrapText="1"/>
    </xf>
    <xf numFmtId="49" fontId="7" fillId="27" borderId="1" xfId="0" applyNumberFormat="1" applyFont="1" applyFill="1" applyBorder="1" applyAlignment="1">
      <alignment horizontal="left" wrapText="1"/>
    </xf>
    <xf numFmtId="43" fontId="7" fillId="27" borderId="1" xfId="1" applyFont="1" applyFill="1" applyBorder="1" applyAlignment="1">
      <alignment horizontal="left" wrapText="1"/>
    </xf>
    <xf numFmtId="49" fontId="8" fillId="32" borderId="2" xfId="0" applyNumberFormat="1" applyFont="1" applyFill="1" applyBorder="1" applyAlignment="1">
      <alignment horizontal="left" wrapText="1"/>
    </xf>
    <xf numFmtId="0" fontId="8" fillId="32" borderId="1" xfId="0" applyFont="1" applyFill="1" applyBorder="1" applyAlignment="1">
      <alignment horizontal="left" vertical="center" wrapText="1"/>
    </xf>
    <xf numFmtId="4" fontId="25" fillId="32" borderId="2" xfId="1" applyNumberFormat="1" applyFont="1" applyFill="1" applyBorder="1" applyAlignment="1">
      <alignment wrapText="1"/>
    </xf>
    <xf numFmtId="49" fontId="6" fillId="32" borderId="2" xfId="0" applyNumberFormat="1" applyFont="1" applyFill="1" applyBorder="1" applyAlignment="1">
      <alignment horizontal="left" wrapText="1"/>
    </xf>
    <xf numFmtId="0" fontId="6" fillId="32" borderId="1" xfId="0" applyFont="1" applyFill="1" applyBorder="1" applyAlignment="1">
      <alignment horizontal="left" vertical="center" wrapText="1"/>
    </xf>
    <xf numFmtId="4" fontId="26" fillId="32" borderId="2" xfId="1" applyNumberFormat="1" applyFont="1" applyFill="1" applyBorder="1" applyAlignment="1">
      <alignment wrapText="1"/>
    </xf>
    <xf numFmtId="0" fontId="8" fillId="33" borderId="1" xfId="0" applyFont="1" applyFill="1" applyBorder="1" applyAlignment="1">
      <alignment horizontal="left" vertical="center" wrapText="1"/>
    </xf>
    <xf numFmtId="0" fontId="25" fillId="26" borderId="1" xfId="0" applyFont="1" applyFill="1" applyBorder="1" applyAlignment="1">
      <alignment horizontal="right" vertical="center" wrapText="1"/>
    </xf>
    <xf numFmtId="4" fontId="25" fillId="26" borderId="2" xfId="1" applyNumberFormat="1" applyFont="1" applyFill="1" applyBorder="1" applyAlignment="1">
      <alignment horizontal="right" vertical="center" wrapText="1"/>
    </xf>
    <xf numFmtId="4" fontId="25" fillId="33" borderId="2" xfId="1" applyNumberFormat="1" applyFont="1" applyFill="1" applyBorder="1" applyAlignment="1">
      <alignment wrapText="1"/>
    </xf>
    <xf numFmtId="0" fontId="9" fillId="34" borderId="1" xfId="0" applyFont="1" applyFill="1" applyBorder="1" applyAlignment="1">
      <alignment horizontal="left" vertical="center" wrapText="1"/>
    </xf>
    <xf numFmtId="43" fontId="5" fillId="33" borderId="1" xfId="1" applyFont="1" applyFill="1" applyBorder="1"/>
    <xf numFmtId="43" fontId="18" fillId="16" borderId="0" xfId="1" applyFont="1" applyFill="1" applyBorder="1"/>
    <xf numFmtId="43" fontId="22" fillId="0" borderId="0" xfId="1" applyFont="1" applyFill="1"/>
    <xf numFmtId="49" fontId="6" fillId="35" borderId="2" xfId="0" applyNumberFormat="1" applyFont="1" applyFill="1" applyBorder="1" applyAlignment="1">
      <alignment horizontal="left" wrapText="1"/>
    </xf>
    <xf numFmtId="4" fontId="26" fillId="35" borderId="2" xfId="1" applyNumberFormat="1" applyFont="1" applyFill="1" applyBorder="1" applyAlignment="1">
      <alignment wrapText="1"/>
    </xf>
    <xf numFmtId="49" fontId="8" fillId="35" borderId="2" xfId="0" applyNumberFormat="1" applyFont="1" applyFill="1" applyBorder="1" applyAlignment="1">
      <alignment horizontal="left" wrapText="1"/>
    </xf>
    <xf numFmtId="4" fontId="25" fillId="35" borderId="2" xfId="1" applyNumberFormat="1" applyFont="1" applyFill="1" applyBorder="1" applyAlignment="1">
      <alignment wrapText="1"/>
    </xf>
    <xf numFmtId="4" fontId="25" fillId="26" borderId="1" xfId="1" applyNumberFormat="1" applyFont="1" applyFill="1" applyBorder="1" applyAlignment="1">
      <alignment wrapText="1"/>
    </xf>
    <xf numFmtId="43" fontId="24" fillId="6" borderId="2" xfId="1" applyNumberFormat="1" applyFont="1" applyFill="1" applyBorder="1"/>
    <xf numFmtId="43" fontId="29" fillId="23" borderId="0" xfId="1" applyFont="1" applyFill="1" applyBorder="1"/>
    <xf numFmtId="0" fontId="5" fillId="0" borderId="1" xfId="0" applyFont="1" applyFill="1" applyBorder="1" applyAlignment="1">
      <alignment horizontal="left"/>
    </xf>
    <xf numFmtId="0" fontId="15" fillId="21" borderId="6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horizontal="center" vertical="center" wrapText="1"/>
    </xf>
    <xf numFmtId="0" fontId="15" fillId="21" borderId="8" xfId="0" applyFont="1" applyFill="1" applyBorder="1" applyAlignment="1">
      <alignment horizontal="center" vertical="center" wrapText="1"/>
    </xf>
    <xf numFmtId="43" fontId="24" fillId="3" borderId="1" xfId="1" applyFont="1" applyFill="1" applyBorder="1"/>
    <xf numFmtId="43" fontId="25" fillId="35" borderId="1" xfId="1" applyFont="1" applyFill="1" applyBorder="1"/>
    <xf numFmtId="43" fontId="24" fillId="9" borderId="1" xfId="1" applyFont="1" applyFill="1" applyBorder="1"/>
    <xf numFmtId="43" fontId="24" fillId="36" borderId="1" xfId="1" applyFont="1" applyFill="1" applyBorder="1"/>
    <xf numFmtId="43" fontId="24" fillId="35" borderId="1" xfId="1" applyFont="1" applyFill="1" applyBorder="1"/>
    <xf numFmtId="43" fontId="24" fillId="36" borderId="1" xfId="1" applyNumberFormat="1" applyFont="1" applyFill="1" applyBorder="1"/>
    <xf numFmtId="43" fontId="25" fillId="9" borderId="1" xfId="1" applyFont="1" applyFill="1" applyBorder="1"/>
    <xf numFmtId="43" fontId="28" fillId="36" borderId="1" xfId="1" applyFont="1" applyFill="1" applyBorder="1"/>
    <xf numFmtId="43" fontId="24" fillId="6" borderId="1" xfId="1" applyFont="1" applyFill="1" applyBorder="1"/>
    <xf numFmtId="43" fontId="24" fillId="9" borderId="1" xfId="1" applyNumberFormat="1" applyFont="1" applyFill="1" applyBorder="1"/>
    <xf numFmtId="43" fontId="24" fillId="10" borderId="1" xfId="1" applyNumberFormat="1" applyFont="1" applyFill="1" applyBorder="1"/>
    <xf numFmtId="43" fontId="24" fillId="11" borderId="1" xfId="1" applyNumberFormat="1" applyFont="1" applyFill="1" applyBorder="1"/>
    <xf numFmtId="43" fontId="24" fillId="3" borderId="1" xfId="1" applyNumberFormat="1" applyFont="1" applyFill="1" applyBorder="1"/>
    <xf numFmtId="43" fontId="25" fillId="12" borderId="1" xfId="1" applyNumberFormat="1" applyFont="1" applyFill="1" applyBorder="1"/>
    <xf numFmtId="43" fontId="24" fillId="13" borderId="1" xfId="1" applyNumberFormat="1" applyFont="1" applyFill="1" applyBorder="1" applyAlignment="1">
      <alignment horizontal="right"/>
    </xf>
    <xf numFmtId="4" fontId="25" fillId="13" borderId="1" xfId="1" applyNumberFormat="1" applyFont="1" applyFill="1" applyBorder="1" applyAlignment="1">
      <alignment wrapText="1"/>
    </xf>
    <xf numFmtId="4" fontId="26" fillId="31" borderId="1" xfId="1" applyNumberFormat="1" applyFont="1" applyFill="1" applyBorder="1" applyAlignment="1">
      <alignment wrapText="1"/>
    </xf>
    <xf numFmtId="4" fontId="25" fillId="31" borderId="1" xfId="1" applyNumberFormat="1" applyFont="1" applyFill="1" applyBorder="1" applyAlignment="1">
      <alignment wrapText="1"/>
    </xf>
    <xf numFmtId="4" fontId="26" fillId="35" borderId="1" xfId="1" applyNumberFormat="1" applyFont="1" applyFill="1" applyBorder="1" applyAlignment="1">
      <alignment wrapText="1"/>
    </xf>
    <xf numFmtId="4" fontId="25" fillId="35" borderId="1" xfId="1" applyNumberFormat="1" applyFont="1" applyFill="1" applyBorder="1" applyAlignment="1">
      <alignment wrapText="1"/>
    </xf>
    <xf numFmtId="4" fontId="26" fillId="32" borderId="1" xfId="1" applyNumberFormat="1" applyFont="1" applyFill="1" applyBorder="1" applyAlignment="1">
      <alignment wrapText="1"/>
    </xf>
    <xf numFmtId="4" fontId="25" fillId="32" borderId="1" xfId="1" applyNumberFormat="1" applyFont="1" applyFill="1" applyBorder="1" applyAlignment="1">
      <alignment wrapText="1"/>
    </xf>
    <xf numFmtId="4" fontId="25" fillId="9" borderId="1" xfId="1" applyNumberFormat="1" applyFont="1" applyFill="1" applyBorder="1" applyAlignment="1">
      <alignment wrapText="1"/>
    </xf>
    <xf numFmtId="4" fontId="28" fillId="36" borderId="1" xfId="1" applyNumberFormat="1" applyFont="1" applyFill="1" applyBorder="1" applyAlignment="1">
      <alignment wrapText="1"/>
    </xf>
    <xf numFmtId="4" fontId="25" fillId="10" borderId="1" xfId="1" applyNumberFormat="1" applyFont="1" applyFill="1" applyBorder="1" applyAlignment="1">
      <alignment wrapText="1"/>
    </xf>
    <xf numFmtId="4" fontId="7" fillId="26" borderId="1" xfId="1" applyNumberFormat="1" applyFont="1" applyFill="1" applyBorder="1" applyAlignment="1">
      <alignment wrapText="1"/>
    </xf>
    <xf numFmtId="4" fontId="25" fillId="26" borderId="1" xfId="1" applyNumberFormat="1" applyFont="1" applyFill="1" applyBorder="1" applyAlignment="1">
      <alignment horizontal="right" vertical="center" wrapText="1"/>
    </xf>
    <xf numFmtId="43" fontId="25" fillId="14" borderId="1" xfId="1" applyFont="1" applyFill="1" applyBorder="1" applyAlignment="1">
      <alignment horizontal="left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Documents/KARLA%20FINANCIERA/Doc/2014/DOCUMENTOS%20CONPES%202014/CONPES%20VS%20PPTO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S Vs PPTO CONSOLIDADO"/>
      <sheetName val="Hoja3"/>
      <sheetName val="Hoja1"/>
    </sheetNames>
    <sheetDataSet>
      <sheetData sheetId="0">
        <row r="9">
          <cell r="B9"/>
        </row>
        <row r="21">
          <cell r="C21">
            <v>1993874798</v>
          </cell>
        </row>
        <row r="22">
          <cell r="C22">
            <v>10467842689.5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15"/>
  <sheetViews>
    <sheetView tabSelected="1" zoomScale="90" zoomScaleNormal="90" workbookViewId="0">
      <pane xSplit="6" ySplit="4" topLeftCell="R5" activePane="bottomRight" state="frozen"/>
      <selection pane="topRight" activeCell="G1" sqref="G1"/>
      <selection pane="bottomLeft" activeCell="A5" sqref="A5"/>
      <selection pane="bottomRight" activeCell="R5" sqref="R5"/>
    </sheetView>
  </sheetViews>
  <sheetFormatPr baseColWidth="10" defaultRowHeight="15" outlineLevelCol="1" x14ac:dyDescent="0.25"/>
  <cols>
    <col min="1" max="1" width="5.5703125" style="1" bestFit="1" customWidth="1"/>
    <col min="2" max="2" width="2.5703125" style="1" bestFit="1" customWidth="1"/>
    <col min="3" max="3" width="18.7109375" style="78" customWidth="1"/>
    <col min="4" max="4" width="33.28515625" style="78" customWidth="1"/>
    <col min="5" max="5" width="24.85546875" style="2" customWidth="1" outlineLevel="1"/>
    <col min="6" max="6" width="22.42578125" style="1" customWidth="1" outlineLevel="1"/>
    <col min="7" max="7" width="20.85546875" style="86" hidden="1" customWidth="1" outlineLevel="1"/>
    <col min="8" max="8" width="20.140625" style="1" hidden="1" customWidth="1" outlineLevel="1"/>
    <col min="9" max="9" width="22.140625" style="1" hidden="1" customWidth="1" outlineLevel="1"/>
    <col min="10" max="10" width="20.85546875" style="86" hidden="1" customWidth="1"/>
    <col min="11" max="11" width="21.5703125" style="86" hidden="1" customWidth="1"/>
    <col min="12" max="12" width="20.85546875" style="86" hidden="1" customWidth="1"/>
    <col min="13" max="14" width="20.5703125" style="1" hidden="1" customWidth="1"/>
    <col min="15" max="15" width="20.85546875" style="1" hidden="1" customWidth="1"/>
    <col min="16" max="16" width="20.5703125" style="1" hidden="1" customWidth="1"/>
    <col min="17" max="17" width="19.28515625" style="1" hidden="1" customWidth="1"/>
    <col min="18" max="19" width="20.5703125" style="1" customWidth="1"/>
    <col min="20" max="239" width="11.42578125" style="1"/>
    <col min="240" max="240" width="20.28515625" style="1" customWidth="1"/>
    <col min="241" max="241" width="33.5703125" style="1" customWidth="1"/>
    <col min="242" max="242" width="23.28515625" style="1" customWidth="1"/>
    <col min="243" max="243" width="46.85546875" style="1" customWidth="1"/>
    <col min="244" max="244" width="18.85546875" style="1" bestFit="1" customWidth="1"/>
    <col min="245" max="246" width="16.85546875" style="1" bestFit="1" customWidth="1"/>
    <col min="247" max="495" width="11.42578125" style="1"/>
    <col min="496" max="496" width="20.28515625" style="1" customWidth="1"/>
    <col min="497" max="497" width="33.5703125" style="1" customWidth="1"/>
    <col min="498" max="498" width="23.28515625" style="1" customWidth="1"/>
    <col min="499" max="499" width="46.85546875" style="1" customWidth="1"/>
    <col min="500" max="500" width="18.85546875" style="1" bestFit="1" customWidth="1"/>
    <col min="501" max="502" width="16.85546875" style="1" bestFit="1" customWidth="1"/>
    <col min="503" max="751" width="11.42578125" style="1"/>
    <col min="752" max="752" width="20.28515625" style="1" customWidth="1"/>
    <col min="753" max="753" width="33.5703125" style="1" customWidth="1"/>
    <col min="754" max="754" width="23.28515625" style="1" customWidth="1"/>
    <col min="755" max="755" width="46.85546875" style="1" customWidth="1"/>
    <col min="756" max="756" width="18.85546875" style="1" bestFit="1" customWidth="1"/>
    <col min="757" max="758" width="16.85546875" style="1" bestFit="1" customWidth="1"/>
    <col min="759" max="1007" width="11.42578125" style="1"/>
    <col min="1008" max="1008" width="20.28515625" style="1" customWidth="1"/>
    <col min="1009" max="1009" width="33.5703125" style="1" customWidth="1"/>
    <col min="1010" max="1010" width="23.28515625" style="1" customWidth="1"/>
    <col min="1011" max="1011" width="46.85546875" style="1" customWidth="1"/>
    <col min="1012" max="1012" width="18.85546875" style="1" bestFit="1" customWidth="1"/>
    <col min="1013" max="1014" width="16.85546875" style="1" bestFit="1" customWidth="1"/>
    <col min="1015" max="1263" width="11.42578125" style="1"/>
    <col min="1264" max="1264" width="20.28515625" style="1" customWidth="1"/>
    <col min="1265" max="1265" width="33.5703125" style="1" customWidth="1"/>
    <col min="1266" max="1266" width="23.28515625" style="1" customWidth="1"/>
    <col min="1267" max="1267" width="46.85546875" style="1" customWidth="1"/>
    <col min="1268" max="1268" width="18.85546875" style="1" bestFit="1" customWidth="1"/>
    <col min="1269" max="1270" width="16.85546875" style="1" bestFit="1" customWidth="1"/>
    <col min="1271" max="1519" width="11.42578125" style="1"/>
    <col min="1520" max="1520" width="20.28515625" style="1" customWidth="1"/>
    <col min="1521" max="1521" width="33.5703125" style="1" customWidth="1"/>
    <col min="1522" max="1522" width="23.28515625" style="1" customWidth="1"/>
    <col min="1523" max="1523" width="46.85546875" style="1" customWidth="1"/>
    <col min="1524" max="1524" width="18.85546875" style="1" bestFit="1" customWidth="1"/>
    <col min="1525" max="1526" width="16.85546875" style="1" bestFit="1" customWidth="1"/>
    <col min="1527" max="1775" width="11.42578125" style="1"/>
    <col min="1776" max="1776" width="20.28515625" style="1" customWidth="1"/>
    <col min="1777" max="1777" width="33.5703125" style="1" customWidth="1"/>
    <col min="1778" max="1778" width="23.28515625" style="1" customWidth="1"/>
    <col min="1779" max="1779" width="46.85546875" style="1" customWidth="1"/>
    <col min="1780" max="1780" width="18.85546875" style="1" bestFit="1" customWidth="1"/>
    <col min="1781" max="1782" width="16.85546875" style="1" bestFit="1" customWidth="1"/>
    <col min="1783" max="2031" width="11.42578125" style="1"/>
    <col min="2032" max="2032" width="20.28515625" style="1" customWidth="1"/>
    <col min="2033" max="2033" width="33.5703125" style="1" customWidth="1"/>
    <col min="2034" max="2034" width="23.28515625" style="1" customWidth="1"/>
    <col min="2035" max="2035" width="46.85546875" style="1" customWidth="1"/>
    <col min="2036" max="2036" width="18.85546875" style="1" bestFit="1" customWidth="1"/>
    <col min="2037" max="2038" width="16.85546875" style="1" bestFit="1" customWidth="1"/>
    <col min="2039" max="2287" width="11.42578125" style="1"/>
    <col min="2288" max="2288" width="20.28515625" style="1" customWidth="1"/>
    <col min="2289" max="2289" width="33.5703125" style="1" customWidth="1"/>
    <col min="2290" max="2290" width="23.28515625" style="1" customWidth="1"/>
    <col min="2291" max="2291" width="46.85546875" style="1" customWidth="1"/>
    <col min="2292" max="2292" width="18.85546875" style="1" bestFit="1" customWidth="1"/>
    <col min="2293" max="2294" width="16.85546875" style="1" bestFit="1" customWidth="1"/>
    <col min="2295" max="2543" width="11.42578125" style="1"/>
    <col min="2544" max="2544" width="20.28515625" style="1" customWidth="1"/>
    <col min="2545" max="2545" width="33.5703125" style="1" customWidth="1"/>
    <col min="2546" max="2546" width="23.28515625" style="1" customWidth="1"/>
    <col min="2547" max="2547" width="46.85546875" style="1" customWidth="1"/>
    <col min="2548" max="2548" width="18.85546875" style="1" bestFit="1" customWidth="1"/>
    <col min="2549" max="2550" width="16.85546875" style="1" bestFit="1" customWidth="1"/>
    <col min="2551" max="2799" width="11.42578125" style="1"/>
    <col min="2800" max="2800" width="20.28515625" style="1" customWidth="1"/>
    <col min="2801" max="2801" width="33.5703125" style="1" customWidth="1"/>
    <col min="2802" max="2802" width="23.28515625" style="1" customWidth="1"/>
    <col min="2803" max="2803" width="46.85546875" style="1" customWidth="1"/>
    <col min="2804" max="2804" width="18.85546875" style="1" bestFit="1" customWidth="1"/>
    <col min="2805" max="2806" width="16.85546875" style="1" bestFit="1" customWidth="1"/>
    <col min="2807" max="3055" width="11.42578125" style="1"/>
    <col min="3056" max="3056" width="20.28515625" style="1" customWidth="1"/>
    <col min="3057" max="3057" width="33.5703125" style="1" customWidth="1"/>
    <col min="3058" max="3058" width="23.28515625" style="1" customWidth="1"/>
    <col min="3059" max="3059" width="46.85546875" style="1" customWidth="1"/>
    <col min="3060" max="3060" width="18.85546875" style="1" bestFit="1" customWidth="1"/>
    <col min="3061" max="3062" width="16.85546875" style="1" bestFit="1" customWidth="1"/>
    <col min="3063" max="3311" width="11.42578125" style="1"/>
    <col min="3312" max="3312" width="20.28515625" style="1" customWidth="1"/>
    <col min="3313" max="3313" width="33.5703125" style="1" customWidth="1"/>
    <col min="3314" max="3314" width="23.28515625" style="1" customWidth="1"/>
    <col min="3315" max="3315" width="46.85546875" style="1" customWidth="1"/>
    <col min="3316" max="3316" width="18.85546875" style="1" bestFit="1" customWidth="1"/>
    <col min="3317" max="3318" width="16.85546875" style="1" bestFit="1" customWidth="1"/>
    <col min="3319" max="3567" width="11.42578125" style="1"/>
    <col min="3568" max="3568" width="20.28515625" style="1" customWidth="1"/>
    <col min="3569" max="3569" width="33.5703125" style="1" customWidth="1"/>
    <col min="3570" max="3570" width="23.28515625" style="1" customWidth="1"/>
    <col min="3571" max="3571" width="46.85546875" style="1" customWidth="1"/>
    <col min="3572" max="3572" width="18.85546875" style="1" bestFit="1" customWidth="1"/>
    <col min="3573" max="3574" width="16.85546875" style="1" bestFit="1" customWidth="1"/>
    <col min="3575" max="3823" width="11.42578125" style="1"/>
    <col min="3824" max="3824" width="20.28515625" style="1" customWidth="1"/>
    <col min="3825" max="3825" width="33.5703125" style="1" customWidth="1"/>
    <col min="3826" max="3826" width="23.28515625" style="1" customWidth="1"/>
    <col min="3827" max="3827" width="46.85546875" style="1" customWidth="1"/>
    <col min="3828" max="3828" width="18.85546875" style="1" bestFit="1" customWidth="1"/>
    <col min="3829" max="3830" width="16.85546875" style="1" bestFit="1" customWidth="1"/>
    <col min="3831" max="4079" width="11.42578125" style="1"/>
    <col min="4080" max="4080" width="20.28515625" style="1" customWidth="1"/>
    <col min="4081" max="4081" width="33.5703125" style="1" customWidth="1"/>
    <col min="4082" max="4082" width="23.28515625" style="1" customWidth="1"/>
    <col min="4083" max="4083" width="46.85546875" style="1" customWidth="1"/>
    <col min="4084" max="4084" width="18.85546875" style="1" bestFit="1" customWidth="1"/>
    <col min="4085" max="4086" width="16.85546875" style="1" bestFit="1" customWidth="1"/>
    <col min="4087" max="4335" width="11.42578125" style="1"/>
    <col min="4336" max="4336" width="20.28515625" style="1" customWidth="1"/>
    <col min="4337" max="4337" width="33.5703125" style="1" customWidth="1"/>
    <col min="4338" max="4338" width="23.28515625" style="1" customWidth="1"/>
    <col min="4339" max="4339" width="46.85546875" style="1" customWidth="1"/>
    <col min="4340" max="4340" width="18.85546875" style="1" bestFit="1" customWidth="1"/>
    <col min="4341" max="4342" width="16.85546875" style="1" bestFit="1" customWidth="1"/>
    <col min="4343" max="4591" width="11.42578125" style="1"/>
    <col min="4592" max="4592" width="20.28515625" style="1" customWidth="1"/>
    <col min="4593" max="4593" width="33.5703125" style="1" customWidth="1"/>
    <col min="4594" max="4594" width="23.28515625" style="1" customWidth="1"/>
    <col min="4595" max="4595" width="46.85546875" style="1" customWidth="1"/>
    <col min="4596" max="4596" width="18.85546875" style="1" bestFit="1" customWidth="1"/>
    <col min="4597" max="4598" width="16.85546875" style="1" bestFit="1" customWidth="1"/>
    <col min="4599" max="4847" width="11.42578125" style="1"/>
    <col min="4848" max="4848" width="20.28515625" style="1" customWidth="1"/>
    <col min="4849" max="4849" width="33.5703125" style="1" customWidth="1"/>
    <col min="4850" max="4850" width="23.28515625" style="1" customWidth="1"/>
    <col min="4851" max="4851" width="46.85546875" style="1" customWidth="1"/>
    <col min="4852" max="4852" width="18.85546875" style="1" bestFit="1" customWidth="1"/>
    <col min="4853" max="4854" width="16.85546875" style="1" bestFit="1" customWidth="1"/>
    <col min="4855" max="5103" width="11.42578125" style="1"/>
    <col min="5104" max="5104" width="20.28515625" style="1" customWidth="1"/>
    <col min="5105" max="5105" width="33.5703125" style="1" customWidth="1"/>
    <col min="5106" max="5106" width="23.28515625" style="1" customWidth="1"/>
    <col min="5107" max="5107" width="46.85546875" style="1" customWidth="1"/>
    <col min="5108" max="5108" width="18.85546875" style="1" bestFit="1" customWidth="1"/>
    <col min="5109" max="5110" width="16.85546875" style="1" bestFit="1" customWidth="1"/>
    <col min="5111" max="5359" width="11.42578125" style="1"/>
    <col min="5360" max="5360" width="20.28515625" style="1" customWidth="1"/>
    <col min="5361" max="5361" width="33.5703125" style="1" customWidth="1"/>
    <col min="5362" max="5362" width="23.28515625" style="1" customWidth="1"/>
    <col min="5363" max="5363" width="46.85546875" style="1" customWidth="1"/>
    <col min="5364" max="5364" width="18.85546875" style="1" bestFit="1" customWidth="1"/>
    <col min="5365" max="5366" width="16.85546875" style="1" bestFit="1" customWidth="1"/>
    <col min="5367" max="5615" width="11.42578125" style="1"/>
    <col min="5616" max="5616" width="20.28515625" style="1" customWidth="1"/>
    <col min="5617" max="5617" width="33.5703125" style="1" customWidth="1"/>
    <col min="5618" max="5618" width="23.28515625" style="1" customWidth="1"/>
    <col min="5619" max="5619" width="46.85546875" style="1" customWidth="1"/>
    <col min="5620" max="5620" width="18.85546875" style="1" bestFit="1" customWidth="1"/>
    <col min="5621" max="5622" width="16.85546875" style="1" bestFit="1" customWidth="1"/>
    <col min="5623" max="5871" width="11.42578125" style="1"/>
    <col min="5872" max="5872" width="20.28515625" style="1" customWidth="1"/>
    <col min="5873" max="5873" width="33.5703125" style="1" customWidth="1"/>
    <col min="5874" max="5874" width="23.28515625" style="1" customWidth="1"/>
    <col min="5875" max="5875" width="46.85546875" style="1" customWidth="1"/>
    <col min="5876" max="5876" width="18.85546875" style="1" bestFit="1" customWidth="1"/>
    <col min="5877" max="5878" width="16.85546875" style="1" bestFit="1" customWidth="1"/>
    <col min="5879" max="6127" width="11.42578125" style="1"/>
    <col min="6128" max="6128" width="20.28515625" style="1" customWidth="1"/>
    <col min="6129" max="6129" width="33.5703125" style="1" customWidth="1"/>
    <col min="6130" max="6130" width="23.28515625" style="1" customWidth="1"/>
    <col min="6131" max="6131" width="46.85546875" style="1" customWidth="1"/>
    <col min="6132" max="6132" width="18.85546875" style="1" bestFit="1" customWidth="1"/>
    <col min="6133" max="6134" width="16.85546875" style="1" bestFit="1" customWidth="1"/>
    <col min="6135" max="6383" width="11.42578125" style="1"/>
    <col min="6384" max="6384" width="20.28515625" style="1" customWidth="1"/>
    <col min="6385" max="6385" width="33.5703125" style="1" customWidth="1"/>
    <col min="6386" max="6386" width="23.28515625" style="1" customWidth="1"/>
    <col min="6387" max="6387" width="46.85546875" style="1" customWidth="1"/>
    <col min="6388" max="6388" width="18.85546875" style="1" bestFit="1" customWidth="1"/>
    <col min="6389" max="6390" width="16.85546875" style="1" bestFit="1" customWidth="1"/>
    <col min="6391" max="6639" width="11.42578125" style="1"/>
    <col min="6640" max="6640" width="20.28515625" style="1" customWidth="1"/>
    <col min="6641" max="6641" width="33.5703125" style="1" customWidth="1"/>
    <col min="6642" max="6642" width="23.28515625" style="1" customWidth="1"/>
    <col min="6643" max="6643" width="46.85546875" style="1" customWidth="1"/>
    <col min="6644" max="6644" width="18.85546875" style="1" bestFit="1" customWidth="1"/>
    <col min="6645" max="6646" width="16.85546875" style="1" bestFit="1" customWidth="1"/>
    <col min="6647" max="6895" width="11.42578125" style="1"/>
    <col min="6896" max="6896" width="20.28515625" style="1" customWidth="1"/>
    <col min="6897" max="6897" width="33.5703125" style="1" customWidth="1"/>
    <col min="6898" max="6898" width="23.28515625" style="1" customWidth="1"/>
    <col min="6899" max="6899" width="46.85546875" style="1" customWidth="1"/>
    <col min="6900" max="6900" width="18.85546875" style="1" bestFit="1" customWidth="1"/>
    <col min="6901" max="6902" width="16.85546875" style="1" bestFit="1" customWidth="1"/>
    <col min="6903" max="7151" width="11.42578125" style="1"/>
    <col min="7152" max="7152" width="20.28515625" style="1" customWidth="1"/>
    <col min="7153" max="7153" width="33.5703125" style="1" customWidth="1"/>
    <col min="7154" max="7154" width="23.28515625" style="1" customWidth="1"/>
    <col min="7155" max="7155" width="46.85546875" style="1" customWidth="1"/>
    <col min="7156" max="7156" width="18.85546875" style="1" bestFit="1" customWidth="1"/>
    <col min="7157" max="7158" width="16.85546875" style="1" bestFit="1" customWidth="1"/>
    <col min="7159" max="7407" width="11.42578125" style="1"/>
    <col min="7408" max="7408" width="20.28515625" style="1" customWidth="1"/>
    <col min="7409" max="7409" width="33.5703125" style="1" customWidth="1"/>
    <col min="7410" max="7410" width="23.28515625" style="1" customWidth="1"/>
    <col min="7411" max="7411" width="46.85546875" style="1" customWidth="1"/>
    <col min="7412" max="7412" width="18.85546875" style="1" bestFit="1" customWidth="1"/>
    <col min="7413" max="7414" width="16.85546875" style="1" bestFit="1" customWidth="1"/>
    <col min="7415" max="7663" width="11.42578125" style="1"/>
    <col min="7664" max="7664" width="20.28515625" style="1" customWidth="1"/>
    <col min="7665" max="7665" width="33.5703125" style="1" customWidth="1"/>
    <col min="7666" max="7666" width="23.28515625" style="1" customWidth="1"/>
    <col min="7667" max="7667" width="46.85546875" style="1" customWidth="1"/>
    <col min="7668" max="7668" width="18.85546875" style="1" bestFit="1" customWidth="1"/>
    <col min="7669" max="7670" width="16.85546875" style="1" bestFit="1" customWidth="1"/>
    <col min="7671" max="7919" width="11.42578125" style="1"/>
    <col min="7920" max="7920" width="20.28515625" style="1" customWidth="1"/>
    <col min="7921" max="7921" width="33.5703125" style="1" customWidth="1"/>
    <col min="7922" max="7922" width="23.28515625" style="1" customWidth="1"/>
    <col min="7923" max="7923" width="46.85546875" style="1" customWidth="1"/>
    <col min="7924" max="7924" width="18.85546875" style="1" bestFit="1" customWidth="1"/>
    <col min="7925" max="7926" width="16.85546875" style="1" bestFit="1" customWidth="1"/>
    <col min="7927" max="8175" width="11.42578125" style="1"/>
    <col min="8176" max="8176" width="20.28515625" style="1" customWidth="1"/>
    <col min="8177" max="8177" width="33.5703125" style="1" customWidth="1"/>
    <col min="8178" max="8178" width="23.28515625" style="1" customWidth="1"/>
    <col min="8179" max="8179" width="46.85546875" style="1" customWidth="1"/>
    <col min="8180" max="8180" width="18.85546875" style="1" bestFit="1" customWidth="1"/>
    <col min="8181" max="8182" width="16.85546875" style="1" bestFit="1" customWidth="1"/>
    <col min="8183" max="8431" width="11.42578125" style="1"/>
    <col min="8432" max="8432" width="20.28515625" style="1" customWidth="1"/>
    <col min="8433" max="8433" width="33.5703125" style="1" customWidth="1"/>
    <col min="8434" max="8434" width="23.28515625" style="1" customWidth="1"/>
    <col min="8435" max="8435" width="46.85546875" style="1" customWidth="1"/>
    <col min="8436" max="8436" width="18.85546875" style="1" bestFit="1" customWidth="1"/>
    <col min="8437" max="8438" width="16.85546875" style="1" bestFit="1" customWidth="1"/>
    <col min="8439" max="8687" width="11.42578125" style="1"/>
    <col min="8688" max="8688" width="20.28515625" style="1" customWidth="1"/>
    <col min="8689" max="8689" width="33.5703125" style="1" customWidth="1"/>
    <col min="8690" max="8690" width="23.28515625" style="1" customWidth="1"/>
    <col min="8691" max="8691" width="46.85546875" style="1" customWidth="1"/>
    <col min="8692" max="8692" width="18.85546875" style="1" bestFit="1" customWidth="1"/>
    <col min="8693" max="8694" width="16.85546875" style="1" bestFit="1" customWidth="1"/>
    <col min="8695" max="8943" width="11.42578125" style="1"/>
    <col min="8944" max="8944" width="20.28515625" style="1" customWidth="1"/>
    <col min="8945" max="8945" width="33.5703125" style="1" customWidth="1"/>
    <col min="8946" max="8946" width="23.28515625" style="1" customWidth="1"/>
    <col min="8947" max="8947" width="46.85546875" style="1" customWidth="1"/>
    <col min="8948" max="8948" width="18.85546875" style="1" bestFit="1" customWidth="1"/>
    <col min="8949" max="8950" width="16.85546875" style="1" bestFit="1" customWidth="1"/>
    <col min="8951" max="9199" width="11.42578125" style="1"/>
    <col min="9200" max="9200" width="20.28515625" style="1" customWidth="1"/>
    <col min="9201" max="9201" width="33.5703125" style="1" customWidth="1"/>
    <col min="9202" max="9202" width="23.28515625" style="1" customWidth="1"/>
    <col min="9203" max="9203" width="46.85546875" style="1" customWidth="1"/>
    <col min="9204" max="9204" width="18.85546875" style="1" bestFit="1" customWidth="1"/>
    <col min="9205" max="9206" width="16.85546875" style="1" bestFit="1" customWidth="1"/>
    <col min="9207" max="9455" width="11.42578125" style="1"/>
    <col min="9456" max="9456" width="20.28515625" style="1" customWidth="1"/>
    <col min="9457" max="9457" width="33.5703125" style="1" customWidth="1"/>
    <col min="9458" max="9458" width="23.28515625" style="1" customWidth="1"/>
    <col min="9459" max="9459" width="46.85546875" style="1" customWidth="1"/>
    <col min="9460" max="9460" width="18.85546875" style="1" bestFit="1" customWidth="1"/>
    <col min="9461" max="9462" width="16.85546875" style="1" bestFit="1" customWidth="1"/>
    <col min="9463" max="9711" width="11.42578125" style="1"/>
    <col min="9712" max="9712" width="20.28515625" style="1" customWidth="1"/>
    <col min="9713" max="9713" width="33.5703125" style="1" customWidth="1"/>
    <col min="9714" max="9714" width="23.28515625" style="1" customWidth="1"/>
    <col min="9715" max="9715" width="46.85546875" style="1" customWidth="1"/>
    <col min="9716" max="9716" width="18.85546875" style="1" bestFit="1" customWidth="1"/>
    <col min="9717" max="9718" width="16.85546875" style="1" bestFit="1" customWidth="1"/>
    <col min="9719" max="9967" width="11.42578125" style="1"/>
    <col min="9968" max="9968" width="20.28515625" style="1" customWidth="1"/>
    <col min="9969" max="9969" width="33.5703125" style="1" customWidth="1"/>
    <col min="9970" max="9970" width="23.28515625" style="1" customWidth="1"/>
    <col min="9971" max="9971" width="46.85546875" style="1" customWidth="1"/>
    <col min="9972" max="9972" width="18.85546875" style="1" bestFit="1" customWidth="1"/>
    <col min="9973" max="9974" width="16.85546875" style="1" bestFit="1" customWidth="1"/>
    <col min="9975" max="10223" width="11.42578125" style="1"/>
    <col min="10224" max="10224" width="20.28515625" style="1" customWidth="1"/>
    <col min="10225" max="10225" width="33.5703125" style="1" customWidth="1"/>
    <col min="10226" max="10226" width="23.28515625" style="1" customWidth="1"/>
    <col min="10227" max="10227" width="46.85546875" style="1" customWidth="1"/>
    <col min="10228" max="10228" width="18.85546875" style="1" bestFit="1" customWidth="1"/>
    <col min="10229" max="10230" width="16.85546875" style="1" bestFit="1" customWidth="1"/>
    <col min="10231" max="10479" width="11.42578125" style="1"/>
    <col min="10480" max="10480" width="20.28515625" style="1" customWidth="1"/>
    <col min="10481" max="10481" width="33.5703125" style="1" customWidth="1"/>
    <col min="10482" max="10482" width="23.28515625" style="1" customWidth="1"/>
    <col min="10483" max="10483" width="46.85546875" style="1" customWidth="1"/>
    <col min="10484" max="10484" width="18.85546875" style="1" bestFit="1" customWidth="1"/>
    <col min="10485" max="10486" width="16.85546875" style="1" bestFit="1" customWidth="1"/>
    <col min="10487" max="10735" width="11.42578125" style="1"/>
    <col min="10736" max="10736" width="20.28515625" style="1" customWidth="1"/>
    <col min="10737" max="10737" width="33.5703125" style="1" customWidth="1"/>
    <col min="10738" max="10738" width="23.28515625" style="1" customWidth="1"/>
    <col min="10739" max="10739" width="46.85546875" style="1" customWidth="1"/>
    <col min="10740" max="10740" width="18.85546875" style="1" bestFit="1" customWidth="1"/>
    <col min="10741" max="10742" width="16.85546875" style="1" bestFit="1" customWidth="1"/>
    <col min="10743" max="10991" width="11.42578125" style="1"/>
    <col min="10992" max="10992" width="20.28515625" style="1" customWidth="1"/>
    <col min="10993" max="10993" width="33.5703125" style="1" customWidth="1"/>
    <col min="10994" max="10994" width="23.28515625" style="1" customWidth="1"/>
    <col min="10995" max="10995" width="46.85546875" style="1" customWidth="1"/>
    <col min="10996" max="10996" width="18.85546875" style="1" bestFit="1" customWidth="1"/>
    <col min="10997" max="10998" width="16.85546875" style="1" bestFit="1" customWidth="1"/>
    <col min="10999" max="11247" width="11.42578125" style="1"/>
    <col min="11248" max="11248" width="20.28515625" style="1" customWidth="1"/>
    <col min="11249" max="11249" width="33.5703125" style="1" customWidth="1"/>
    <col min="11250" max="11250" width="23.28515625" style="1" customWidth="1"/>
    <col min="11251" max="11251" width="46.85546875" style="1" customWidth="1"/>
    <col min="11252" max="11252" width="18.85546875" style="1" bestFit="1" customWidth="1"/>
    <col min="11253" max="11254" width="16.85546875" style="1" bestFit="1" customWidth="1"/>
    <col min="11255" max="11503" width="11.42578125" style="1"/>
    <col min="11504" max="11504" width="20.28515625" style="1" customWidth="1"/>
    <col min="11505" max="11505" width="33.5703125" style="1" customWidth="1"/>
    <col min="11506" max="11506" width="23.28515625" style="1" customWidth="1"/>
    <col min="11507" max="11507" width="46.85546875" style="1" customWidth="1"/>
    <col min="11508" max="11508" width="18.85546875" style="1" bestFit="1" customWidth="1"/>
    <col min="11509" max="11510" width="16.85546875" style="1" bestFit="1" customWidth="1"/>
    <col min="11511" max="11759" width="11.42578125" style="1"/>
    <col min="11760" max="11760" width="20.28515625" style="1" customWidth="1"/>
    <col min="11761" max="11761" width="33.5703125" style="1" customWidth="1"/>
    <col min="11762" max="11762" width="23.28515625" style="1" customWidth="1"/>
    <col min="11763" max="11763" width="46.85546875" style="1" customWidth="1"/>
    <col min="11764" max="11764" width="18.85546875" style="1" bestFit="1" customWidth="1"/>
    <col min="11765" max="11766" width="16.85546875" style="1" bestFit="1" customWidth="1"/>
    <col min="11767" max="12015" width="11.42578125" style="1"/>
    <col min="12016" max="12016" width="20.28515625" style="1" customWidth="1"/>
    <col min="12017" max="12017" width="33.5703125" style="1" customWidth="1"/>
    <col min="12018" max="12018" width="23.28515625" style="1" customWidth="1"/>
    <col min="12019" max="12019" width="46.85546875" style="1" customWidth="1"/>
    <col min="12020" max="12020" width="18.85546875" style="1" bestFit="1" customWidth="1"/>
    <col min="12021" max="12022" width="16.85546875" style="1" bestFit="1" customWidth="1"/>
    <col min="12023" max="12271" width="11.42578125" style="1"/>
    <col min="12272" max="12272" width="20.28515625" style="1" customWidth="1"/>
    <col min="12273" max="12273" width="33.5703125" style="1" customWidth="1"/>
    <col min="12274" max="12274" width="23.28515625" style="1" customWidth="1"/>
    <col min="12275" max="12275" width="46.85546875" style="1" customWidth="1"/>
    <col min="12276" max="12276" width="18.85546875" style="1" bestFit="1" customWidth="1"/>
    <col min="12277" max="12278" width="16.85546875" style="1" bestFit="1" customWidth="1"/>
    <col min="12279" max="12527" width="11.42578125" style="1"/>
    <col min="12528" max="12528" width="20.28515625" style="1" customWidth="1"/>
    <col min="12529" max="12529" width="33.5703125" style="1" customWidth="1"/>
    <col min="12530" max="12530" width="23.28515625" style="1" customWidth="1"/>
    <col min="12531" max="12531" width="46.85546875" style="1" customWidth="1"/>
    <col min="12532" max="12532" width="18.85546875" style="1" bestFit="1" customWidth="1"/>
    <col min="12533" max="12534" width="16.85546875" style="1" bestFit="1" customWidth="1"/>
    <col min="12535" max="12783" width="11.42578125" style="1"/>
    <col min="12784" max="12784" width="20.28515625" style="1" customWidth="1"/>
    <col min="12785" max="12785" width="33.5703125" style="1" customWidth="1"/>
    <col min="12786" max="12786" width="23.28515625" style="1" customWidth="1"/>
    <col min="12787" max="12787" width="46.85546875" style="1" customWidth="1"/>
    <col min="12788" max="12788" width="18.85546875" style="1" bestFit="1" customWidth="1"/>
    <col min="12789" max="12790" width="16.85546875" style="1" bestFit="1" customWidth="1"/>
    <col min="12791" max="13039" width="11.42578125" style="1"/>
    <col min="13040" max="13040" width="20.28515625" style="1" customWidth="1"/>
    <col min="13041" max="13041" width="33.5703125" style="1" customWidth="1"/>
    <col min="13042" max="13042" width="23.28515625" style="1" customWidth="1"/>
    <col min="13043" max="13043" width="46.85546875" style="1" customWidth="1"/>
    <col min="13044" max="13044" width="18.85546875" style="1" bestFit="1" customWidth="1"/>
    <col min="13045" max="13046" width="16.85546875" style="1" bestFit="1" customWidth="1"/>
    <col min="13047" max="13295" width="11.42578125" style="1"/>
    <col min="13296" max="13296" width="20.28515625" style="1" customWidth="1"/>
    <col min="13297" max="13297" width="33.5703125" style="1" customWidth="1"/>
    <col min="13298" max="13298" width="23.28515625" style="1" customWidth="1"/>
    <col min="13299" max="13299" width="46.85546875" style="1" customWidth="1"/>
    <col min="13300" max="13300" width="18.85546875" style="1" bestFit="1" customWidth="1"/>
    <col min="13301" max="13302" width="16.85546875" style="1" bestFit="1" customWidth="1"/>
    <col min="13303" max="13551" width="11.42578125" style="1"/>
    <col min="13552" max="13552" width="20.28515625" style="1" customWidth="1"/>
    <col min="13553" max="13553" width="33.5703125" style="1" customWidth="1"/>
    <col min="13554" max="13554" width="23.28515625" style="1" customWidth="1"/>
    <col min="13555" max="13555" width="46.85546875" style="1" customWidth="1"/>
    <col min="13556" max="13556" width="18.85546875" style="1" bestFit="1" customWidth="1"/>
    <col min="13557" max="13558" width="16.85546875" style="1" bestFit="1" customWidth="1"/>
    <col min="13559" max="13807" width="11.42578125" style="1"/>
    <col min="13808" max="13808" width="20.28515625" style="1" customWidth="1"/>
    <col min="13809" max="13809" width="33.5703125" style="1" customWidth="1"/>
    <col min="13810" max="13810" width="23.28515625" style="1" customWidth="1"/>
    <col min="13811" max="13811" width="46.85546875" style="1" customWidth="1"/>
    <col min="13812" max="13812" width="18.85546875" style="1" bestFit="1" customWidth="1"/>
    <col min="13813" max="13814" width="16.85546875" style="1" bestFit="1" customWidth="1"/>
    <col min="13815" max="14063" width="11.42578125" style="1"/>
    <col min="14064" max="14064" width="20.28515625" style="1" customWidth="1"/>
    <col min="14065" max="14065" width="33.5703125" style="1" customWidth="1"/>
    <col min="14066" max="14066" width="23.28515625" style="1" customWidth="1"/>
    <col min="14067" max="14067" width="46.85546875" style="1" customWidth="1"/>
    <col min="14068" max="14068" width="18.85546875" style="1" bestFit="1" customWidth="1"/>
    <col min="14069" max="14070" width="16.85546875" style="1" bestFit="1" customWidth="1"/>
    <col min="14071" max="14319" width="11.42578125" style="1"/>
    <col min="14320" max="14320" width="20.28515625" style="1" customWidth="1"/>
    <col min="14321" max="14321" width="33.5703125" style="1" customWidth="1"/>
    <col min="14322" max="14322" width="23.28515625" style="1" customWidth="1"/>
    <col min="14323" max="14323" width="46.85546875" style="1" customWidth="1"/>
    <col min="14324" max="14324" width="18.85546875" style="1" bestFit="1" customWidth="1"/>
    <col min="14325" max="14326" width="16.85546875" style="1" bestFit="1" customWidth="1"/>
    <col min="14327" max="14575" width="11.42578125" style="1"/>
    <col min="14576" max="14576" width="20.28515625" style="1" customWidth="1"/>
    <col min="14577" max="14577" width="33.5703125" style="1" customWidth="1"/>
    <col min="14578" max="14578" width="23.28515625" style="1" customWidth="1"/>
    <col min="14579" max="14579" width="46.85546875" style="1" customWidth="1"/>
    <col min="14580" max="14580" width="18.85546875" style="1" bestFit="1" customWidth="1"/>
    <col min="14581" max="14582" width="16.85546875" style="1" bestFit="1" customWidth="1"/>
    <col min="14583" max="14831" width="11.42578125" style="1"/>
    <col min="14832" max="14832" width="20.28515625" style="1" customWidth="1"/>
    <col min="14833" max="14833" width="33.5703125" style="1" customWidth="1"/>
    <col min="14834" max="14834" width="23.28515625" style="1" customWidth="1"/>
    <col min="14835" max="14835" width="46.85546875" style="1" customWidth="1"/>
    <col min="14836" max="14836" width="18.85546875" style="1" bestFit="1" customWidth="1"/>
    <col min="14837" max="14838" width="16.85546875" style="1" bestFit="1" customWidth="1"/>
    <col min="14839" max="15087" width="11.42578125" style="1"/>
    <col min="15088" max="15088" width="20.28515625" style="1" customWidth="1"/>
    <col min="15089" max="15089" width="33.5703125" style="1" customWidth="1"/>
    <col min="15090" max="15090" width="23.28515625" style="1" customWidth="1"/>
    <col min="15091" max="15091" width="46.85546875" style="1" customWidth="1"/>
    <col min="15092" max="15092" width="18.85546875" style="1" bestFit="1" customWidth="1"/>
    <col min="15093" max="15094" width="16.85546875" style="1" bestFit="1" customWidth="1"/>
    <col min="15095" max="15343" width="11.42578125" style="1"/>
    <col min="15344" max="15344" width="20.28515625" style="1" customWidth="1"/>
    <col min="15345" max="15345" width="33.5703125" style="1" customWidth="1"/>
    <col min="15346" max="15346" width="23.28515625" style="1" customWidth="1"/>
    <col min="15347" max="15347" width="46.85546875" style="1" customWidth="1"/>
    <col min="15348" max="15348" width="18.85546875" style="1" bestFit="1" customWidth="1"/>
    <col min="15349" max="15350" width="16.85546875" style="1" bestFit="1" customWidth="1"/>
    <col min="15351" max="15599" width="11.42578125" style="1"/>
    <col min="15600" max="15600" width="20.28515625" style="1" customWidth="1"/>
    <col min="15601" max="15601" width="33.5703125" style="1" customWidth="1"/>
    <col min="15602" max="15602" width="23.28515625" style="1" customWidth="1"/>
    <col min="15603" max="15603" width="46.85546875" style="1" customWidth="1"/>
    <col min="15604" max="15604" width="18.85546875" style="1" bestFit="1" customWidth="1"/>
    <col min="15605" max="15606" width="16.85546875" style="1" bestFit="1" customWidth="1"/>
    <col min="15607" max="15855" width="11.42578125" style="1"/>
    <col min="15856" max="15856" width="20.28515625" style="1" customWidth="1"/>
    <col min="15857" max="15857" width="33.5703125" style="1" customWidth="1"/>
    <col min="15858" max="15858" width="23.28515625" style="1" customWidth="1"/>
    <col min="15859" max="15859" width="46.85546875" style="1" customWidth="1"/>
    <col min="15860" max="15860" width="18.85546875" style="1" bestFit="1" customWidth="1"/>
    <col min="15861" max="15862" width="16.85546875" style="1" bestFit="1" customWidth="1"/>
    <col min="15863" max="16111" width="11.42578125" style="1"/>
    <col min="16112" max="16112" width="20.28515625" style="1" customWidth="1"/>
    <col min="16113" max="16113" width="33.5703125" style="1" customWidth="1"/>
    <col min="16114" max="16114" width="23.28515625" style="1" customWidth="1"/>
    <col min="16115" max="16115" width="46.85546875" style="1" customWidth="1"/>
    <col min="16116" max="16116" width="18.85546875" style="1" bestFit="1" customWidth="1"/>
    <col min="16117" max="16118" width="16.85546875" style="1" bestFit="1" customWidth="1"/>
    <col min="16119" max="16384" width="11.42578125" style="1"/>
  </cols>
  <sheetData>
    <row r="1" spans="1:19" ht="16.5" x14ac:dyDescent="0.3">
      <c r="C1" s="77" t="s">
        <v>0</v>
      </c>
      <c r="E1" s="215" t="s">
        <v>342</v>
      </c>
      <c r="F1" s="133">
        <f>+'[1]COMPES Vs PPTO CONSOLIDADO'!$C$21</f>
        <v>1993874798</v>
      </c>
      <c r="G1" s="207">
        <f>+F14</f>
        <v>2044070358</v>
      </c>
      <c r="H1" s="134">
        <f>+F1-G1</f>
        <v>-50195560</v>
      </c>
      <c r="I1" s="208">
        <f>+E5+E13</f>
        <v>138175380999.9975</v>
      </c>
      <c r="J1" s="86">
        <f>+I2-I1</f>
        <v>3053223881</v>
      </c>
      <c r="L1" s="86" t="s">
        <v>390</v>
      </c>
      <c r="M1" s="4"/>
      <c r="N1" s="86">
        <f>+F191+F5</f>
        <v>3735648729</v>
      </c>
      <c r="O1" s="4">
        <v>141228605881</v>
      </c>
      <c r="P1" s="86" t="s">
        <v>428</v>
      </c>
      <c r="Q1" s="4"/>
      <c r="R1" s="4"/>
      <c r="S1" s="4"/>
    </row>
    <row r="2" spans="1:19" ht="16.5" x14ac:dyDescent="0.3">
      <c r="C2" s="78" t="s">
        <v>1</v>
      </c>
      <c r="E2" s="215" t="s">
        <v>413</v>
      </c>
      <c r="F2" s="133">
        <f>+'[1]COMPES Vs PPTO CONSOLIDADO'!$C$22</f>
        <v>10467842689.5</v>
      </c>
      <c r="G2" s="207">
        <f>+F66</f>
        <v>12133240094.82</v>
      </c>
      <c r="H2" s="134">
        <f>+F2-G2</f>
        <v>-1665397405.3199997</v>
      </c>
      <c r="I2" s="4">
        <f>+F5+F13</f>
        <v>141228604880.9975</v>
      </c>
      <c r="J2" s="86">
        <f>+E267+'[1]COMPES Vs PPTO CONSOLIDADO'!$B$9</f>
        <v>177697316.162</v>
      </c>
      <c r="M2" s="4"/>
      <c r="N2" s="86">
        <f>+F267-E267</f>
        <v>489416860.73999995</v>
      </c>
      <c r="O2" s="8">
        <f>+F13+F5</f>
        <v>141228604880.9975</v>
      </c>
      <c r="P2" s="86"/>
      <c r="Q2" s="8"/>
      <c r="R2" s="4"/>
      <c r="S2" s="4"/>
    </row>
    <row r="3" spans="1:19" s="114" customFormat="1" x14ac:dyDescent="0.25">
      <c r="C3" s="216" t="s">
        <v>2</v>
      </c>
      <c r="D3" s="216"/>
      <c r="E3" s="115" t="s">
        <v>337</v>
      </c>
      <c r="F3" s="115" t="s">
        <v>316</v>
      </c>
      <c r="G3" s="116" t="s">
        <v>309</v>
      </c>
      <c r="H3" s="115" t="s">
        <v>310</v>
      </c>
      <c r="I3" s="115" t="s">
        <v>311</v>
      </c>
      <c r="J3" s="116" t="s">
        <v>312</v>
      </c>
      <c r="K3" s="116" t="s">
        <v>310</v>
      </c>
      <c r="L3" s="116" t="s">
        <v>311</v>
      </c>
      <c r="M3" s="115" t="s">
        <v>313</v>
      </c>
      <c r="N3" s="115" t="s">
        <v>310</v>
      </c>
      <c r="O3" s="115" t="s">
        <v>311</v>
      </c>
      <c r="P3" s="115" t="s">
        <v>314</v>
      </c>
      <c r="Q3" s="115" t="s">
        <v>310</v>
      </c>
      <c r="R3" s="115" t="s">
        <v>311</v>
      </c>
      <c r="S3" s="115" t="s">
        <v>389</v>
      </c>
    </row>
    <row r="4" spans="1:19" x14ac:dyDescent="0.25">
      <c r="C4" s="122" t="s">
        <v>333</v>
      </c>
      <c r="D4" s="123" t="s">
        <v>331</v>
      </c>
      <c r="E4" s="97">
        <f t="shared" ref="E4:R4" si="0">+E5+E10+E248</f>
        <v>143975380999.99951</v>
      </c>
      <c r="F4" s="97">
        <f t="shared" si="0"/>
        <v>155387822411.70947</v>
      </c>
      <c r="G4" s="97">
        <f t="shared" si="0"/>
        <v>36172747897.919998</v>
      </c>
      <c r="H4" s="97">
        <f t="shared" si="0"/>
        <v>0</v>
      </c>
      <c r="I4" s="97">
        <f t="shared" si="0"/>
        <v>107802633102.07951</v>
      </c>
      <c r="J4" s="97">
        <f t="shared" si="0"/>
        <v>38024918543.945007</v>
      </c>
      <c r="K4" s="97">
        <f t="shared" si="0"/>
        <v>-22022372561.860001</v>
      </c>
      <c r="L4" s="97">
        <f t="shared" si="0"/>
        <v>47755341996.274506</v>
      </c>
      <c r="M4" s="97">
        <f t="shared" si="0"/>
        <v>28269684674.170002</v>
      </c>
      <c r="N4" s="97">
        <f t="shared" si="0"/>
        <v>24321534679.02</v>
      </c>
      <c r="O4" s="97">
        <f t="shared" si="0"/>
        <v>43807192001.124512</v>
      </c>
      <c r="P4" s="97">
        <f t="shared" si="0"/>
        <v>31785510688.779995</v>
      </c>
      <c r="Q4" s="97">
        <f t="shared" si="0"/>
        <v>9113279294.5500011</v>
      </c>
      <c r="R4" s="3">
        <f t="shared" si="0"/>
        <v>21134960606.894505</v>
      </c>
      <c r="S4" s="3">
        <f t="shared" ref="S4" si="1">+S5+S10+S248</f>
        <v>134266917804.81497</v>
      </c>
    </row>
    <row r="5" spans="1:19" x14ac:dyDescent="0.25">
      <c r="A5" s="1" t="s">
        <v>315</v>
      </c>
      <c r="C5" s="5">
        <v>222</v>
      </c>
      <c r="D5" s="6" t="s">
        <v>3</v>
      </c>
      <c r="E5" s="7">
        <f t="shared" ref="E5:R5" si="2">SUM(E8:E9)</f>
        <v>1507000000</v>
      </c>
      <c r="F5" s="7">
        <f t="shared" si="2"/>
        <v>1537000000</v>
      </c>
      <c r="G5" s="7">
        <f t="shared" si="2"/>
        <v>0</v>
      </c>
      <c r="H5" s="7">
        <f t="shared" si="2"/>
        <v>0</v>
      </c>
      <c r="I5" s="7">
        <f t="shared" si="2"/>
        <v>1507000000</v>
      </c>
      <c r="J5" s="125">
        <f t="shared" si="2"/>
        <v>727172612.88</v>
      </c>
      <c r="K5" s="125">
        <f t="shared" si="2"/>
        <v>0</v>
      </c>
      <c r="L5" s="125">
        <f t="shared" si="2"/>
        <v>779827387.12</v>
      </c>
      <c r="M5" s="7">
        <f t="shared" si="2"/>
        <v>0</v>
      </c>
      <c r="N5" s="7">
        <f t="shared" si="2"/>
        <v>0</v>
      </c>
      <c r="O5" s="7">
        <f t="shared" si="2"/>
        <v>779827387.12</v>
      </c>
      <c r="P5" s="7">
        <f t="shared" si="2"/>
        <v>809827387.12</v>
      </c>
      <c r="Q5" s="7">
        <f t="shared" si="2"/>
        <v>30000000</v>
      </c>
      <c r="R5" s="7">
        <f t="shared" si="2"/>
        <v>0</v>
      </c>
      <c r="S5" s="7">
        <f t="shared" ref="S5" si="3">SUM(S8:S9)</f>
        <v>1537000000</v>
      </c>
    </row>
    <row r="6" spans="1:19" x14ac:dyDescent="0.25">
      <c r="A6" s="96" t="s">
        <v>315</v>
      </c>
      <c r="B6" s="96"/>
      <c r="C6" s="9">
        <v>22201</v>
      </c>
      <c r="D6" s="6" t="s">
        <v>4</v>
      </c>
      <c r="E6" s="98">
        <f>SUM(E8:E9)</f>
        <v>1507000000</v>
      </c>
      <c r="F6" s="7">
        <f t="shared" ref="F6:R6" si="4">SUM(F8:F9)</f>
        <v>1537000000</v>
      </c>
      <c r="G6" s="7">
        <f t="shared" si="4"/>
        <v>0</v>
      </c>
      <c r="H6" s="7">
        <f t="shared" si="4"/>
        <v>0</v>
      </c>
      <c r="I6" s="7">
        <f t="shared" si="4"/>
        <v>1507000000</v>
      </c>
      <c r="J6" s="125">
        <f t="shared" si="4"/>
        <v>727172612.88</v>
      </c>
      <c r="K6" s="125">
        <f t="shared" si="4"/>
        <v>0</v>
      </c>
      <c r="L6" s="125">
        <f t="shared" si="4"/>
        <v>779827387.12</v>
      </c>
      <c r="M6" s="7">
        <f t="shared" si="4"/>
        <v>0</v>
      </c>
      <c r="N6" s="7">
        <f t="shared" si="4"/>
        <v>0</v>
      </c>
      <c r="O6" s="7">
        <f t="shared" si="4"/>
        <v>779827387.12</v>
      </c>
      <c r="P6" s="7">
        <f t="shared" si="4"/>
        <v>809827387.12</v>
      </c>
      <c r="Q6" s="7">
        <f t="shared" si="4"/>
        <v>30000000</v>
      </c>
      <c r="R6" s="7">
        <f t="shared" si="4"/>
        <v>0</v>
      </c>
      <c r="S6" s="7">
        <f t="shared" ref="S6" si="5">SUM(S8:S9)</f>
        <v>1537000000</v>
      </c>
    </row>
    <row r="7" spans="1:19" x14ac:dyDescent="0.25">
      <c r="A7" s="96" t="s">
        <v>315</v>
      </c>
      <c r="B7" s="96"/>
      <c r="C7" s="10">
        <v>2220101</v>
      </c>
      <c r="D7" s="6" t="s">
        <v>5</v>
      </c>
      <c r="E7" s="98">
        <f>+E8+E9</f>
        <v>1507000000</v>
      </c>
      <c r="F7" s="7">
        <f t="shared" ref="F7:R7" si="6">+F8+F9</f>
        <v>1537000000</v>
      </c>
      <c r="G7" s="7">
        <f t="shared" si="6"/>
        <v>0</v>
      </c>
      <c r="H7" s="7">
        <f t="shared" si="6"/>
        <v>0</v>
      </c>
      <c r="I7" s="7">
        <f t="shared" si="6"/>
        <v>1507000000</v>
      </c>
      <c r="J7" s="125">
        <f t="shared" si="6"/>
        <v>727172612.88</v>
      </c>
      <c r="K7" s="125">
        <f t="shared" si="6"/>
        <v>0</v>
      </c>
      <c r="L7" s="125">
        <f t="shared" si="6"/>
        <v>779827387.12</v>
      </c>
      <c r="M7" s="7">
        <f t="shared" si="6"/>
        <v>0</v>
      </c>
      <c r="N7" s="7">
        <f t="shared" si="6"/>
        <v>0</v>
      </c>
      <c r="O7" s="7">
        <f t="shared" si="6"/>
        <v>779827387.12</v>
      </c>
      <c r="P7" s="7">
        <f t="shared" si="6"/>
        <v>809827387.12</v>
      </c>
      <c r="Q7" s="7">
        <f t="shared" si="6"/>
        <v>30000000</v>
      </c>
      <c r="R7" s="7">
        <f t="shared" si="6"/>
        <v>0</v>
      </c>
      <c r="S7" s="7">
        <f t="shared" ref="S7" si="7">+S8+S9</f>
        <v>1537000000</v>
      </c>
    </row>
    <row r="8" spans="1:19" x14ac:dyDescent="0.25">
      <c r="A8" s="1" t="s">
        <v>318</v>
      </c>
      <c r="C8" s="12">
        <v>222010101</v>
      </c>
      <c r="D8" s="13" t="s">
        <v>6</v>
      </c>
      <c r="E8" s="151">
        <v>1447000000</v>
      </c>
      <c r="F8" s="151">
        <f>+E8+H8+K8+N8+Q8</f>
        <v>1530548078.22</v>
      </c>
      <c r="G8" s="151"/>
      <c r="H8" s="151"/>
      <c r="I8" s="151">
        <f>+E8-G8+H8</f>
        <v>1447000000</v>
      </c>
      <c r="J8" s="151">
        <v>722973720</v>
      </c>
      <c r="K8" s="151"/>
      <c r="L8" s="151">
        <f>+I8+K8-J8</f>
        <v>724026280</v>
      </c>
      <c r="M8" s="151"/>
      <c r="N8" s="151"/>
      <c r="O8" s="151">
        <f>+L8+N8-M8</f>
        <v>724026280</v>
      </c>
      <c r="P8" s="151">
        <v>807574358.22000003</v>
      </c>
      <c r="Q8" s="151">
        <f>30000000+53300000+248078.22</f>
        <v>83548078.219999999</v>
      </c>
      <c r="R8" s="220">
        <f>+O8+Q8-P8</f>
        <v>0</v>
      </c>
      <c r="S8" s="220">
        <f>+F8-R8</f>
        <v>1530548078.22</v>
      </c>
    </row>
    <row r="9" spans="1:19" x14ac:dyDescent="0.25">
      <c r="A9" s="1" t="s">
        <v>318</v>
      </c>
      <c r="C9" s="12">
        <v>222010102</v>
      </c>
      <c r="D9" s="13" t="s">
        <v>7</v>
      </c>
      <c r="E9" s="151">
        <v>60000000</v>
      </c>
      <c r="F9" s="151">
        <f>+E9+H9+K9+N9+Q9</f>
        <v>6451921.7800000012</v>
      </c>
      <c r="G9" s="151"/>
      <c r="H9" s="151"/>
      <c r="I9" s="151">
        <f>+E9-G9+H9</f>
        <v>60000000</v>
      </c>
      <c r="J9" s="151">
        <v>4198892.88</v>
      </c>
      <c r="K9" s="151"/>
      <c r="L9" s="151">
        <f>+I9+K9-J9</f>
        <v>55801107.119999997</v>
      </c>
      <c r="M9" s="151"/>
      <c r="N9" s="151"/>
      <c r="O9" s="151">
        <f>+L9+N9-M9</f>
        <v>55801107.119999997</v>
      </c>
      <c r="P9" s="151">
        <v>2253028.9000000004</v>
      </c>
      <c r="Q9" s="151">
        <f>-53300000-248078.22</f>
        <v>-53548078.219999999</v>
      </c>
      <c r="R9" s="220">
        <f>+O9+Q9-P9</f>
        <v>0</v>
      </c>
      <c r="S9" s="220">
        <f>+F9-R9</f>
        <v>6451921.7800000012</v>
      </c>
    </row>
    <row r="10" spans="1:19" x14ac:dyDescent="0.25">
      <c r="A10" s="96" t="s">
        <v>315</v>
      </c>
      <c r="B10" s="96"/>
      <c r="C10" s="14">
        <v>2301</v>
      </c>
      <c r="D10" s="15" t="s">
        <v>8</v>
      </c>
      <c r="E10" s="99">
        <f>+E11</f>
        <v>138168380999.9975</v>
      </c>
      <c r="F10" s="16">
        <f t="shared" ref="F10:S11" si="8">+F11</f>
        <v>142501208039.57748</v>
      </c>
      <c r="G10" s="16">
        <f t="shared" si="8"/>
        <v>33919484000.519997</v>
      </c>
      <c r="H10" s="16">
        <f t="shared" si="8"/>
        <v>0</v>
      </c>
      <c r="I10" s="16">
        <f t="shared" si="8"/>
        <v>104248896999.47751</v>
      </c>
      <c r="J10" s="16">
        <f t="shared" si="8"/>
        <v>31540306390.655003</v>
      </c>
      <c r="K10" s="16">
        <f t="shared" si="8"/>
        <v>-29071986933.990002</v>
      </c>
      <c r="L10" s="16">
        <f t="shared" si="8"/>
        <v>43636603674.832504</v>
      </c>
      <c r="M10" s="16">
        <f t="shared" si="8"/>
        <v>27831151733.010002</v>
      </c>
      <c r="N10" s="16">
        <f t="shared" si="8"/>
        <v>24387534679.02</v>
      </c>
      <c r="O10" s="16">
        <f t="shared" si="8"/>
        <v>40192986620.842506</v>
      </c>
      <c r="P10" s="16">
        <f t="shared" si="8"/>
        <v>30205691349.559998</v>
      </c>
      <c r="Q10" s="16">
        <f t="shared" si="8"/>
        <v>9017279294.5500011</v>
      </c>
      <c r="R10" s="16">
        <f t="shared" si="8"/>
        <v>19004574565.832504</v>
      </c>
      <c r="S10" s="16">
        <f t="shared" si="8"/>
        <v>123496633473.74498</v>
      </c>
    </row>
    <row r="11" spans="1:19" ht="22.5" x14ac:dyDescent="0.25">
      <c r="A11" s="96" t="s">
        <v>315</v>
      </c>
      <c r="B11" s="96"/>
      <c r="C11" s="17">
        <v>230101</v>
      </c>
      <c r="D11" s="18" t="s">
        <v>9</v>
      </c>
      <c r="E11" s="100">
        <f>+E12</f>
        <v>138168380999.9975</v>
      </c>
      <c r="F11" s="19">
        <f t="shared" si="8"/>
        <v>142501208039.57748</v>
      </c>
      <c r="G11" s="19">
        <f t="shared" si="8"/>
        <v>33919484000.519997</v>
      </c>
      <c r="H11" s="19">
        <f t="shared" si="8"/>
        <v>0</v>
      </c>
      <c r="I11" s="19">
        <f t="shared" si="8"/>
        <v>104248896999.47751</v>
      </c>
      <c r="J11" s="19">
        <f t="shared" si="8"/>
        <v>31540306390.655003</v>
      </c>
      <c r="K11" s="19">
        <f t="shared" si="8"/>
        <v>-29071986933.990002</v>
      </c>
      <c r="L11" s="19">
        <f t="shared" si="8"/>
        <v>43636603674.832504</v>
      </c>
      <c r="M11" s="19">
        <f t="shared" si="8"/>
        <v>27831151733.010002</v>
      </c>
      <c r="N11" s="19">
        <f t="shared" si="8"/>
        <v>24387534679.02</v>
      </c>
      <c r="O11" s="19">
        <f t="shared" si="8"/>
        <v>40192986620.842506</v>
      </c>
      <c r="P11" s="19">
        <f t="shared" si="8"/>
        <v>30205691349.559998</v>
      </c>
      <c r="Q11" s="19">
        <f t="shared" si="8"/>
        <v>9017279294.5500011</v>
      </c>
      <c r="R11" s="19">
        <f t="shared" si="8"/>
        <v>19004574565.832504</v>
      </c>
      <c r="S11" s="19">
        <f t="shared" si="8"/>
        <v>123496633473.74498</v>
      </c>
    </row>
    <row r="12" spans="1:19" ht="22.5" x14ac:dyDescent="0.25">
      <c r="A12" s="96" t="s">
        <v>315</v>
      </c>
      <c r="B12" s="96"/>
      <c r="C12" s="20">
        <v>23010101</v>
      </c>
      <c r="D12" s="21" t="s">
        <v>10</v>
      </c>
      <c r="E12" s="101">
        <f t="shared" ref="E12:R12" si="9">+E13+E206+E211+E229+E238+E246+E244</f>
        <v>138168380999.9975</v>
      </c>
      <c r="F12" s="101">
        <f t="shared" si="9"/>
        <v>142501208039.57748</v>
      </c>
      <c r="G12" s="101">
        <f t="shared" si="9"/>
        <v>33919484000.519997</v>
      </c>
      <c r="H12" s="101">
        <f t="shared" si="9"/>
        <v>0</v>
      </c>
      <c r="I12" s="101">
        <f t="shared" si="9"/>
        <v>104248896999.47751</v>
      </c>
      <c r="J12" s="101">
        <f t="shared" si="9"/>
        <v>31540306390.655003</v>
      </c>
      <c r="K12" s="101">
        <f t="shared" si="9"/>
        <v>-29071986933.990002</v>
      </c>
      <c r="L12" s="101">
        <f t="shared" si="9"/>
        <v>43636603674.832504</v>
      </c>
      <c r="M12" s="101">
        <f t="shared" si="9"/>
        <v>27831151733.010002</v>
      </c>
      <c r="N12" s="101">
        <f t="shared" si="9"/>
        <v>24387534679.02</v>
      </c>
      <c r="O12" s="101">
        <f t="shared" si="9"/>
        <v>40192986620.842506</v>
      </c>
      <c r="P12" s="101">
        <f t="shared" si="9"/>
        <v>30205691349.559998</v>
      </c>
      <c r="Q12" s="101">
        <f t="shared" si="9"/>
        <v>9017279294.5500011</v>
      </c>
      <c r="R12" s="22">
        <f t="shared" si="9"/>
        <v>19004574565.832504</v>
      </c>
      <c r="S12" s="22">
        <f t="shared" ref="S12" si="10">+S13+S206+S211+S229+S238+S246+S244</f>
        <v>123496633473.74498</v>
      </c>
    </row>
    <row r="13" spans="1:19" x14ac:dyDescent="0.25">
      <c r="A13" s="96" t="s">
        <v>315</v>
      </c>
      <c r="B13" s="96"/>
      <c r="C13" s="23">
        <v>2301010101</v>
      </c>
      <c r="D13" s="24" t="s">
        <v>11</v>
      </c>
      <c r="E13" s="102">
        <f>+E14+E65</f>
        <v>136668380999.99751</v>
      </c>
      <c r="F13" s="25">
        <f t="shared" ref="F13:R13" si="11">+F14+F65</f>
        <v>139691604880.9975</v>
      </c>
      <c r="G13" s="25">
        <f t="shared" si="11"/>
        <v>33517639833.519997</v>
      </c>
      <c r="H13" s="25">
        <f t="shared" si="11"/>
        <v>0</v>
      </c>
      <c r="I13" s="25">
        <f t="shared" si="11"/>
        <v>103150741166.47751</v>
      </c>
      <c r="J13" s="25">
        <f t="shared" si="11"/>
        <v>31445226377.655003</v>
      </c>
      <c r="K13" s="25">
        <f t="shared" si="11"/>
        <v>-28535053168.990002</v>
      </c>
      <c r="L13" s="25">
        <f t="shared" si="11"/>
        <v>43170461619.832504</v>
      </c>
      <c r="M13" s="25">
        <f t="shared" si="11"/>
        <v>27632293540.990002</v>
      </c>
      <c r="N13" s="25">
        <f t="shared" si="11"/>
        <v>24135271656</v>
      </c>
      <c r="O13" s="25">
        <f t="shared" si="11"/>
        <v>39673439734.842506</v>
      </c>
      <c r="P13" s="25">
        <f t="shared" si="11"/>
        <v>28594550693</v>
      </c>
      <c r="Q13" s="25">
        <f t="shared" si="11"/>
        <v>7423005393.9899998</v>
      </c>
      <c r="R13" s="25">
        <f t="shared" si="11"/>
        <v>18501894435.832504</v>
      </c>
      <c r="S13" s="25">
        <f t="shared" ref="S13" si="12">+S14+S65</f>
        <v>121189710445.16499</v>
      </c>
    </row>
    <row r="14" spans="1:19" ht="22.5" x14ac:dyDescent="0.25">
      <c r="A14" s="96" t="s">
        <v>315</v>
      </c>
      <c r="B14" s="96"/>
      <c r="C14" s="26">
        <v>23010101011</v>
      </c>
      <c r="D14" s="205" t="s">
        <v>12</v>
      </c>
      <c r="E14" s="103">
        <f>+E15+E48+E63</f>
        <v>1953490508</v>
      </c>
      <c r="F14" s="206">
        <f>+F15+F48+F63</f>
        <v>2044070358</v>
      </c>
      <c r="G14" s="27">
        <f t="shared" ref="G14:R14" si="13">+G15+G48+G63</f>
        <v>476791213</v>
      </c>
      <c r="H14" s="27">
        <f t="shared" si="13"/>
        <v>53000000</v>
      </c>
      <c r="I14" s="27">
        <f t="shared" si="13"/>
        <v>1529699295</v>
      </c>
      <c r="J14" s="27">
        <f t="shared" si="13"/>
        <v>535331649</v>
      </c>
      <c r="K14" s="27">
        <f t="shared" si="13"/>
        <v>60829850</v>
      </c>
      <c r="L14" s="27">
        <f t="shared" si="13"/>
        <v>1055197496</v>
      </c>
      <c r="M14" s="27">
        <f t="shared" si="13"/>
        <v>352831989</v>
      </c>
      <c r="N14" s="27">
        <f t="shared" si="13"/>
        <v>1000000</v>
      </c>
      <c r="O14" s="27">
        <f t="shared" si="13"/>
        <v>703365507</v>
      </c>
      <c r="P14" s="27">
        <f t="shared" si="13"/>
        <v>323058378</v>
      </c>
      <c r="Q14" s="27">
        <f t="shared" si="13"/>
        <v>-24250000</v>
      </c>
      <c r="R14" s="27">
        <f t="shared" si="13"/>
        <v>356057129</v>
      </c>
      <c r="S14" s="27">
        <f t="shared" ref="S14" si="14">+S15+S48+S63</f>
        <v>1688013229</v>
      </c>
    </row>
    <row r="15" spans="1:19" x14ac:dyDescent="0.25">
      <c r="A15" s="96" t="s">
        <v>315</v>
      </c>
      <c r="B15" s="96"/>
      <c r="C15" s="26">
        <v>230101010111</v>
      </c>
      <c r="D15" s="28" t="s">
        <v>13</v>
      </c>
      <c r="E15" s="103">
        <f>+E16+E32</f>
        <v>1799973333</v>
      </c>
      <c r="F15" s="27">
        <f t="shared" ref="F15:R15" si="15">+F16+F32</f>
        <v>1772303783</v>
      </c>
      <c r="G15" s="27">
        <f t="shared" si="15"/>
        <v>359297359</v>
      </c>
      <c r="H15" s="27">
        <f t="shared" si="15"/>
        <v>-51000000</v>
      </c>
      <c r="I15" s="27">
        <f t="shared" si="15"/>
        <v>1389675974</v>
      </c>
      <c r="J15" s="27">
        <f t="shared" si="15"/>
        <v>438757882</v>
      </c>
      <c r="K15" s="27">
        <f t="shared" si="15"/>
        <v>71580450</v>
      </c>
      <c r="L15" s="27">
        <f t="shared" si="15"/>
        <v>1022498542</v>
      </c>
      <c r="M15" s="27">
        <f t="shared" si="15"/>
        <v>350341741</v>
      </c>
      <c r="N15" s="27">
        <f t="shared" si="15"/>
        <v>0</v>
      </c>
      <c r="O15" s="27">
        <f t="shared" si="15"/>
        <v>672156801</v>
      </c>
      <c r="P15" s="27">
        <f t="shared" si="15"/>
        <v>302766246</v>
      </c>
      <c r="Q15" s="27">
        <f t="shared" si="15"/>
        <v>-48250000</v>
      </c>
      <c r="R15" s="27">
        <f t="shared" si="15"/>
        <v>321140555</v>
      </c>
      <c r="S15" s="27">
        <f t="shared" ref="S15" si="16">+S16+S32</f>
        <v>1451163228</v>
      </c>
    </row>
    <row r="16" spans="1:19" ht="22.5" x14ac:dyDescent="0.25">
      <c r="A16" s="96" t="s">
        <v>315</v>
      </c>
      <c r="B16" s="96"/>
      <c r="C16" s="26">
        <v>2301010101111</v>
      </c>
      <c r="D16" s="28" t="s">
        <v>14</v>
      </c>
      <c r="E16" s="103">
        <f>+E17+E20+E21+E22+E23</f>
        <v>1325804155</v>
      </c>
      <c r="F16" s="27">
        <f t="shared" ref="F16:R16" si="17">+F17+F20+F21+F22+F23</f>
        <v>1334884605</v>
      </c>
      <c r="G16" s="27">
        <f t="shared" si="17"/>
        <v>243436989</v>
      </c>
      <c r="H16" s="27">
        <f t="shared" si="17"/>
        <v>-58000000</v>
      </c>
      <c r="I16" s="27">
        <f t="shared" si="17"/>
        <v>1024367166</v>
      </c>
      <c r="J16" s="27">
        <f t="shared" si="17"/>
        <v>335021445</v>
      </c>
      <c r="K16" s="27">
        <f t="shared" si="17"/>
        <v>71580450</v>
      </c>
      <c r="L16" s="27">
        <f t="shared" si="17"/>
        <v>760926171</v>
      </c>
      <c r="M16" s="27">
        <f t="shared" si="17"/>
        <v>255045399</v>
      </c>
      <c r="N16" s="27">
        <f t="shared" si="17"/>
        <v>0</v>
      </c>
      <c r="O16" s="27">
        <f t="shared" si="17"/>
        <v>505880772</v>
      </c>
      <c r="P16" s="27">
        <f t="shared" si="17"/>
        <v>245821566</v>
      </c>
      <c r="Q16" s="27">
        <f t="shared" si="17"/>
        <v>-4500000</v>
      </c>
      <c r="R16" s="27">
        <f t="shared" si="17"/>
        <v>255559206</v>
      </c>
      <c r="S16" s="27">
        <f t="shared" ref="S16" si="18">+S17+S20+S21+S22+S23</f>
        <v>1079325399</v>
      </c>
    </row>
    <row r="17" spans="1:19" x14ac:dyDescent="0.25">
      <c r="A17" s="96" t="s">
        <v>315</v>
      </c>
      <c r="B17" s="96"/>
      <c r="C17" s="26">
        <v>23010101011111</v>
      </c>
      <c r="D17" s="30" t="s">
        <v>15</v>
      </c>
      <c r="E17" s="103">
        <f>+E18+E19</f>
        <v>980495655</v>
      </c>
      <c r="F17" s="27">
        <f t="shared" ref="F17:R17" si="19">+F18+F19</f>
        <v>963495655</v>
      </c>
      <c r="G17" s="27">
        <f t="shared" si="19"/>
        <v>224853598</v>
      </c>
      <c r="H17" s="27">
        <f t="shared" si="19"/>
        <v>-58000000</v>
      </c>
      <c r="I17" s="27">
        <f t="shared" si="19"/>
        <v>697642057</v>
      </c>
      <c r="J17" s="27">
        <f t="shared" si="19"/>
        <v>264035160</v>
      </c>
      <c r="K17" s="27">
        <f t="shared" si="19"/>
        <v>-35000000</v>
      </c>
      <c r="L17" s="27">
        <f t="shared" si="19"/>
        <v>398606897</v>
      </c>
      <c r="M17" s="27">
        <f t="shared" si="19"/>
        <v>232903994</v>
      </c>
      <c r="N17" s="27">
        <f t="shared" si="19"/>
        <v>0</v>
      </c>
      <c r="O17" s="27">
        <f t="shared" si="19"/>
        <v>165702903</v>
      </c>
      <c r="P17" s="27">
        <f t="shared" si="19"/>
        <v>155130689</v>
      </c>
      <c r="Q17" s="27">
        <f t="shared" si="19"/>
        <v>76000000</v>
      </c>
      <c r="R17" s="27">
        <f t="shared" si="19"/>
        <v>86572214</v>
      </c>
      <c r="S17" s="27">
        <f t="shared" ref="S17" si="20">+S18+S19</f>
        <v>876923441</v>
      </c>
    </row>
    <row r="18" spans="1:19" x14ac:dyDescent="0.25">
      <c r="A18" s="1" t="s">
        <v>318</v>
      </c>
      <c r="B18" s="1" t="s">
        <v>403</v>
      </c>
      <c r="C18" s="29">
        <v>230101010111111</v>
      </c>
      <c r="D18" s="201" t="s">
        <v>16</v>
      </c>
      <c r="E18" s="152">
        <v>980494655</v>
      </c>
      <c r="F18" s="152">
        <f>+E18+H18+K18+N18+Q18</f>
        <v>963494655</v>
      </c>
      <c r="G18" s="152">
        <f>79599073+76076399+69178126</f>
        <v>224853598</v>
      </c>
      <c r="H18" s="152">
        <v>-58000000</v>
      </c>
      <c r="I18" s="152">
        <f>+E18-G18+H18</f>
        <v>697641057</v>
      </c>
      <c r="J18" s="152">
        <f>76256507+100368261+87410392</f>
        <v>264035160</v>
      </c>
      <c r="K18" s="152">
        <v>-35000000</v>
      </c>
      <c r="L18" s="181">
        <f>+I18+K18-J18</f>
        <v>398605897</v>
      </c>
      <c r="M18" s="152">
        <f>76945706+77870768+78087520</f>
        <v>232903994</v>
      </c>
      <c r="N18" s="152"/>
      <c r="O18" s="152">
        <f>+L18+N18-M18</f>
        <v>165701903</v>
      </c>
      <c r="P18" s="152">
        <f>76467262+78663427</f>
        <v>155130689</v>
      </c>
      <c r="Q18" s="152">
        <f>71000000+5000000</f>
        <v>76000000</v>
      </c>
      <c r="R18" s="221">
        <f>+O18+Q18-P18</f>
        <v>86571214</v>
      </c>
      <c r="S18" s="221">
        <f t="shared" ref="S18:S22" si="21">+F18-R18</f>
        <v>876923441</v>
      </c>
    </row>
    <row r="19" spans="1:19" x14ac:dyDescent="0.25">
      <c r="A19" s="1" t="s">
        <v>318</v>
      </c>
      <c r="B19" s="1" t="s">
        <v>403</v>
      </c>
      <c r="C19" s="29">
        <v>230101010111112</v>
      </c>
      <c r="D19" s="30" t="s">
        <v>17</v>
      </c>
      <c r="E19" s="152">
        <v>1000</v>
      </c>
      <c r="F19" s="152">
        <f>+E19+H19+K19+N19+Q19</f>
        <v>1000</v>
      </c>
      <c r="G19" s="152"/>
      <c r="H19" s="152"/>
      <c r="I19" s="152">
        <f>+E19-G19+H19</f>
        <v>1000</v>
      </c>
      <c r="J19" s="152"/>
      <c r="K19" s="152"/>
      <c r="L19" s="152">
        <f>+I19+K19-J19</f>
        <v>1000</v>
      </c>
      <c r="M19" s="152"/>
      <c r="N19" s="152"/>
      <c r="O19" s="152">
        <f>+L19+N19-M19</f>
        <v>1000</v>
      </c>
      <c r="P19" s="152"/>
      <c r="Q19" s="152"/>
      <c r="R19" s="222">
        <f>+O19+Q19-P19</f>
        <v>1000</v>
      </c>
      <c r="S19" s="222">
        <f t="shared" si="21"/>
        <v>0</v>
      </c>
    </row>
    <row r="20" spans="1:19" x14ac:dyDescent="0.25">
      <c r="A20" s="1" t="s">
        <v>318</v>
      </c>
      <c r="B20" s="1" t="s">
        <v>403</v>
      </c>
      <c r="C20" s="29">
        <v>23010101011112</v>
      </c>
      <c r="D20" s="30" t="s">
        <v>18</v>
      </c>
      <c r="E20" s="152">
        <v>1000</v>
      </c>
      <c r="F20" s="152">
        <f>+E20+H20+K20+N20+Q20</f>
        <v>1000</v>
      </c>
      <c r="G20" s="152"/>
      <c r="H20" s="152"/>
      <c r="I20" s="152">
        <f>+E20-G20+H20</f>
        <v>1000</v>
      </c>
      <c r="J20" s="152"/>
      <c r="K20" s="152"/>
      <c r="L20" s="152">
        <f>+I20+K20-J20</f>
        <v>1000</v>
      </c>
      <c r="M20" s="152"/>
      <c r="N20" s="152"/>
      <c r="O20" s="152">
        <f>+L20+N20-M20</f>
        <v>1000</v>
      </c>
      <c r="P20" s="152"/>
      <c r="Q20" s="152"/>
      <c r="R20" s="222">
        <f>+O20+Q20-P20</f>
        <v>1000</v>
      </c>
      <c r="S20" s="222">
        <f t="shared" si="21"/>
        <v>0</v>
      </c>
    </row>
    <row r="21" spans="1:19" x14ac:dyDescent="0.25">
      <c r="A21" s="1" t="s">
        <v>318</v>
      </c>
      <c r="B21" s="1" t="s">
        <v>403</v>
      </c>
      <c r="C21" s="29">
        <v>23010101011113</v>
      </c>
      <c r="D21" s="30" t="s">
        <v>19</v>
      </c>
      <c r="E21" s="152">
        <v>20000000</v>
      </c>
      <c r="F21" s="152">
        <f>+E21+H21+K21+N21+Q21</f>
        <v>13000000</v>
      </c>
      <c r="G21" s="152"/>
      <c r="H21" s="152"/>
      <c r="I21" s="152">
        <f>+E21-G21+H21</f>
        <v>20000000</v>
      </c>
      <c r="J21" s="152">
        <v>2162115</v>
      </c>
      <c r="K21" s="152"/>
      <c r="L21" s="152">
        <f>+I21+K21-J21</f>
        <v>17837885</v>
      </c>
      <c r="M21" s="152">
        <v>2825273</v>
      </c>
      <c r="N21" s="152"/>
      <c r="O21" s="152">
        <f>+L21+N21-M21</f>
        <v>15012612</v>
      </c>
      <c r="P21" s="152"/>
      <c r="Q21" s="152">
        <v>-7000000</v>
      </c>
      <c r="R21" s="223">
        <f>+O21+Q21-P21</f>
        <v>8012612</v>
      </c>
      <c r="S21" s="223">
        <f t="shared" si="21"/>
        <v>4987388</v>
      </c>
    </row>
    <row r="22" spans="1:19" x14ac:dyDescent="0.25">
      <c r="A22" s="1" t="s">
        <v>318</v>
      </c>
      <c r="B22" s="1" t="s">
        <v>403</v>
      </c>
      <c r="C22" s="29">
        <v>23010101011114</v>
      </c>
      <c r="D22" s="30" t="s">
        <v>20</v>
      </c>
      <c r="E22" s="152">
        <v>36000000</v>
      </c>
      <c r="F22" s="152">
        <f>+E22+H22+K22+N22+Q22</f>
        <v>0</v>
      </c>
      <c r="G22" s="152"/>
      <c r="H22" s="152"/>
      <c r="I22" s="152">
        <f>+E22-G22+H22</f>
        <v>36000000</v>
      </c>
      <c r="J22" s="152"/>
      <c r="K22" s="152"/>
      <c r="L22" s="152">
        <f>+I22+K22-J22</f>
        <v>36000000</v>
      </c>
      <c r="M22" s="152"/>
      <c r="N22" s="152"/>
      <c r="O22" s="152">
        <f>+L22+N22-M22</f>
        <v>36000000</v>
      </c>
      <c r="P22" s="152"/>
      <c r="Q22" s="152">
        <v>-36000000</v>
      </c>
      <c r="R22" s="223">
        <f>+O22+Q22-P22</f>
        <v>0</v>
      </c>
      <c r="S22" s="223">
        <f t="shared" si="21"/>
        <v>0</v>
      </c>
    </row>
    <row r="23" spans="1:19" x14ac:dyDescent="0.25">
      <c r="A23" s="96" t="s">
        <v>315</v>
      </c>
      <c r="B23" s="96"/>
      <c r="C23" s="26">
        <v>23010101011115</v>
      </c>
      <c r="D23" s="28" t="s">
        <v>21</v>
      </c>
      <c r="E23" s="103">
        <f>SUM(E24:E31)</f>
        <v>289307500</v>
      </c>
      <c r="F23" s="27">
        <f t="shared" ref="F23:R23" si="22">SUM(F24:F31)</f>
        <v>358387950</v>
      </c>
      <c r="G23" s="27">
        <f t="shared" si="22"/>
        <v>18583391</v>
      </c>
      <c r="H23" s="27">
        <f t="shared" si="22"/>
        <v>0</v>
      </c>
      <c r="I23" s="27">
        <f t="shared" si="22"/>
        <v>270724109</v>
      </c>
      <c r="J23" s="27">
        <f t="shared" si="22"/>
        <v>68824170</v>
      </c>
      <c r="K23" s="27">
        <f t="shared" si="22"/>
        <v>106580450</v>
      </c>
      <c r="L23" s="27">
        <f t="shared" si="22"/>
        <v>308480389</v>
      </c>
      <c r="M23" s="27">
        <f t="shared" si="22"/>
        <v>19316132</v>
      </c>
      <c r="N23" s="27">
        <f t="shared" si="22"/>
        <v>0</v>
      </c>
      <c r="O23" s="27">
        <f t="shared" si="22"/>
        <v>289164257</v>
      </c>
      <c r="P23" s="27">
        <f t="shared" si="22"/>
        <v>90690877</v>
      </c>
      <c r="Q23" s="27">
        <f t="shared" si="22"/>
        <v>-37500000</v>
      </c>
      <c r="R23" s="27">
        <f t="shared" si="22"/>
        <v>160973380</v>
      </c>
      <c r="S23" s="27">
        <f t="shared" ref="S23" si="23">SUM(S24:S31)</f>
        <v>197414570</v>
      </c>
    </row>
    <row r="24" spans="1:19" x14ac:dyDescent="0.25">
      <c r="A24" s="1" t="s">
        <v>318</v>
      </c>
      <c r="B24" s="1" t="s">
        <v>403</v>
      </c>
      <c r="C24" s="29">
        <v>230101010111151</v>
      </c>
      <c r="D24" s="30" t="s">
        <v>22</v>
      </c>
      <c r="E24" s="152">
        <v>6000000</v>
      </c>
      <c r="F24" s="152">
        <f t="shared" ref="F24:F31" si="24">+E24+H24+K24+N24+Q24</f>
        <v>5000000</v>
      </c>
      <c r="G24" s="152">
        <f>369536+702170+346820</f>
        <v>1418526</v>
      </c>
      <c r="H24" s="152"/>
      <c r="I24" s="152">
        <f t="shared" ref="I24:I31" si="25">+E24-G24+H24</f>
        <v>4581474</v>
      </c>
      <c r="J24" s="152">
        <f>643524+391280+345538</f>
        <v>1380342</v>
      </c>
      <c r="K24" s="152"/>
      <c r="L24" s="152">
        <f t="shared" ref="L24:L31" si="26">+I24+K24-J24</f>
        <v>3201132</v>
      </c>
      <c r="M24" s="152">
        <f>323347+358218+332857</f>
        <v>1014422</v>
      </c>
      <c r="N24" s="152"/>
      <c r="O24" s="152">
        <f t="shared" ref="O24:O31" si="27">+L24+N24-M24</f>
        <v>2186710</v>
      </c>
      <c r="P24" s="152">
        <f>332857+332857</f>
        <v>665714</v>
      </c>
      <c r="Q24" s="152">
        <v>-1000000</v>
      </c>
      <c r="R24" s="223">
        <f t="shared" ref="R24:S31" si="28">+O24+Q24-P24</f>
        <v>520996</v>
      </c>
      <c r="S24" s="223">
        <f t="shared" ref="S24:S31" si="29">+F24-R24</f>
        <v>4479004</v>
      </c>
    </row>
    <row r="25" spans="1:19" x14ac:dyDescent="0.25">
      <c r="A25" s="1" t="s">
        <v>318</v>
      </c>
      <c r="B25" s="1" t="s">
        <v>403</v>
      </c>
      <c r="C25" s="29">
        <v>230101010111152</v>
      </c>
      <c r="D25" s="30" t="s">
        <v>23</v>
      </c>
      <c r="E25" s="152">
        <v>8000000</v>
      </c>
      <c r="F25" s="152">
        <f t="shared" si="24"/>
        <v>6500000</v>
      </c>
      <c r="G25" s="152">
        <f>576000+576000+547550</f>
        <v>1699550</v>
      </c>
      <c r="H25" s="152"/>
      <c r="I25" s="152">
        <f t="shared" si="25"/>
        <v>6300450</v>
      </c>
      <c r="J25" s="152">
        <f>470400+576000+523200</f>
        <v>1569600</v>
      </c>
      <c r="K25" s="152"/>
      <c r="L25" s="152">
        <f t="shared" si="26"/>
        <v>4730850</v>
      </c>
      <c r="M25" s="152">
        <f>489600+542400+504000</f>
        <v>1536000</v>
      </c>
      <c r="N25" s="152"/>
      <c r="O25" s="152">
        <f t="shared" si="27"/>
        <v>3194850</v>
      </c>
      <c r="P25" s="152">
        <f>504000+504000</f>
        <v>1008000</v>
      </c>
      <c r="Q25" s="152">
        <v>-1500000</v>
      </c>
      <c r="R25" s="223">
        <f t="shared" si="28"/>
        <v>686850</v>
      </c>
      <c r="S25" s="223">
        <f t="shared" si="29"/>
        <v>5813150</v>
      </c>
    </row>
    <row r="26" spans="1:19" x14ac:dyDescent="0.25">
      <c r="A26" s="1" t="s">
        <v>318</v>
      </c>
      <c r="B26" s="1" t="s">
        <v>403</v>
      </c>
      <c r="C26" s="29">
        <v>230101010111153</v>
      </c>
      <c r="D26" s="30" t="s">
        <v>24</v>
      </c>
      <c r="E26" s="152">
        <v>18000000</v>
      </c>
      <c r="F26" s="152">
        <f t="shared" si="24"/>
        <v>38000000</v>
      </c>
      <c r="G26" s="152">
        <f>3628617+5419599</f>
        <v>9048216</v>
      </c>
      <c r="H26" s="152"/>
      <c r="I26" s="152">
        <f t="shared" si="25"/>
        <v>8951784</v>
      </c>
      <c r="J26" s="182">
        <f>3681936+6780768+1371826</f>
        <v>11834530</v>
      </c>
      <c r="K26" s="152">
        <v>35000000</v>
      </c>
      <c r="L26" s="152">
        <f t="shared" si="26"/>
        <v>32117254</v>
      </c>
      <c r="M26" s="152">
        <f>757431+4236896</f>
        <v>4994327</v>
      </c>
      <c r="N26" s="152"/>
      <c r="O26" s="152">
        <f t="shared" si="27"/>
        <v>27122927</v>
      </c>
      <c r="P26" s="152">
        <v>425236</v>
      </c>
      <c r="Q26" s="152">
        <v>-15000000</v>
      </c>
      <c r="R26" s="223">
        <f t="shared" si="28"/>
        <v>11697691</v>
      </c>
      <c r="S26" s="223">
        <f t="shared" si="29"/>
        <v>26302309</v>
      </c>
    </row>
    <row r="27" spans="1:19" x14ac:dyDescent="0.25">
      <c r="A27" s="1" t="s">
        <v>318</v>
      </c>
      <c r="B27" s="1" t="s">
        <v>405</v>
      </c>
      <c r="C27" s="29">
        <v>230101010111154</v>
      </c>
      <c r="D27" s="30" t="s">
        <v>303</v>
      </c>
      <c r="E27" s="152">
        <f>+E29/2</f>
        <v>63472500</v>
      </c>
      <c r="F27" s="152">
        <f t="shared" si="24"/>
        <v>43472500</v>
      </c>
      <c r="G27" s="152">
        <v>541795</v>
      </c>
      <c r="H27" s="152"/>
      <c r="I27" s="152">
        <f t="shared" si="25"/>
        <v>62930705</v>
      </c>
      <c r="J27" s="152">
        <v>41096099</v>
      </c>
      <c r="K27" s="152">
        <v>-10000000</v>
      </c>
      <c r="L27" s="152">
        <f t="shared" si="26"/>
        <v>11834606</v>
      </c>
      <c r="M27" s="152">
        <f>28579+59378</f>
        <v>87957</v>
      </c>
      <c r="N27" s="152"/>
      <c r="O27" s="152">
        <f t="shared" si="27"/>
        <v>11746649</v>
      </c>
      <c r="P27" s="152"/>
      <c r="Q27" s="152">
        <v>-10000000</v>
      </c>
      <c r="R27" s="223">
        <f t="shared" si="28"/>
        <v>1746649</v>
      </c>
      <c r="S27" s="223">
        <f t="shared" si="29"/>
        <v>41725851</v>
      </c>
    </row>
    <row r="28" spans="1:19" x14ac:dyDescent="0.25">
      <c r="A28" s="1" t="s">
        <v>318</v>
      </c>
      <c r="B28" s="1" t="s">
        <v>403</v>
      </c>
      <c r="C28" s="29">
        <v>230101010111155</v>
      </c>
      <c r="D28" s="30" t="s">
        <v>25</v>
      </c>
      <c r="E28" s="152">
        <f>+E29/2</f>
        <v>63472500</v>
      </c>
      <c r="F28" s="152">
        <f t="shared" si="24"/>
        <v>48472500</v>
      </c>
      <c r="G28" s="152">
        <f>1673843+2544028</f>
        <v>4217871</v>
      </c>
      <c r="H28" s="152"/>
      <c r="I28" s="152">
        <f t="shared" si="25"/>
        <v>59254629</v>
      </c>
      <c r="J28" s="152">
        <f>975231+3374999+7170239</f>
        <v>11520469</v>
      </c>
      <c r="K28" s="152"/>
      <c r="L28" s="152">
        <f t="shared" si="26"/>
        <v>47734160</v>
      </c>
      <c r="M28" s="152">
        <f>2874407+1879301+1802813</f>
        <v>6556521</v>
      </c>
      <c r="N28" s="152"/>
      <c r="O28" s="152">
        <f t="shared" si="27"/>
        <v>41177639</v>
      </c>
      <c r="P28" s="152">
        <f>1121517+2092952</f>
        <v>3214469</v>
      </c>
      <c r="Q28" s="152">
        <v>-15000000</v>
      </c>
      <c r="R28" s="223">
        <f t="shared" si="28"/>
        <v>22963170</v>
      </c>
      <c r="S28" s="223">
        <f t="shared" si="29"/>
        <v>25509330</v>
      </c>
    </row>
    <row r="29" spans="1:19" x14ac:dyDescent="0.25">
      <c r="A29" s="1" t="s">
        <v>318</v>
      </c>
      <c r="B29" s="1" t="s">
        <v>405</v>
      </c>
      <c r="C29" s="29">
        <v>230101010111156</v>
      </c>
      <c r="D29" s="30" t="s">
        <v>26</v>
      </c>
      <c r="E29" s="152">
        <f>120900000*105%</f>
        <v>126945000</v>
      </c>
      <c r="F29" s="152">
        <f t="shared" si="24"/>
        <v>103945000</v>
      </c>
      <c r="G29" s="152">
        <v>158561</v>
      </c>
      <c r="H29" s="152"/>
      <c r="I29" s="152">
        <f t="shared" si="25"/>
        <v>126786439</v>
      </c>
      <c r="J29" s="152">
        <v>12276</v>
      </c>
      <c r="K29" s="152">
        <v>-23000000</v>
      </c>
      <c r="L29" s="152">
        <f t="shared" si="26"/>
        <v>103774163</v>
      </c>
      <c r="M29" s="152">
        <v>523676</v>
      </c>
      <c r="N29" s="152"/>
      <c r="O29" s="152">
        <f t="shared" si="27"/>
        <v>103250487</v>
      </c>
      <c r="P29" s="152">
        <v>84972971</v>
      </c>
      <c r="Q29" s="152"/>
      <c r="R29" s="222">
        <f t="shared" si="28"/>
        <v>18277516</v>
      </c>
      <c r="S29" s="222">
        <f t="shared" si="29"/>
        <v>85667484</v>
      </c>
    </row>
    <row r="30" spans="1:19" x14ac:dyDescent="0.25">
      <c r="A30" s="1" t="s">
        <v>318</v>
      </c>
      <c r="B30" s="1" t="s">
        <v>403</v>
      </c>
      <c r="C30" s="29">
        <v>230101010111157</v>
      </c>
      <c r="D30" s="30" t="s">
        <v>27</v>
      </c>
      <c r="E30" s="152">
        <f>1350000*105%</f>
        <v>1417500</v>
      </c>
      <c r="F30" s="152">
        <f t="shared" si="24"/>
        <v>14417500</v>
      </c>
      <c r="G30" s="152">
        <f>211694+206728</f>
        <v>418422</v>
      </c>
      <c r="H30" s="152"/>
      <c r="I30" s="152">
        <f t="shared" si="25"/>
        <v>999078</v>
      </c>
      <c r="J30" s="152">
        <f>123839+406921+880094</f>
        <v>1410854</v>
      </c>
      <c r="K30" s="152">
        <v>8000000</v>
      </c>
      <c r="L30" s="152">
        <f t="shared" si="26"/>
        <v>7588224</v>
      </c>
      <c r="M30" s="152">
        <f>353987+82515+223337</f>
        <v>659839</v>
      </c>
      <c r="N30" s="152"/>
      <c r="O30" s="152">
        <f t="shared" si="27"/>
        <v>6928385</v>
      </c>
      <c r="P30" s="152">
        <f>143187+261300</f>
        <v>404487</v>
      </c>
      <c r="Q30" s="152">
        <v>5000000</v>
      </c>
      <c r="R30" s="222">
        <f t="shared" si="28"/>
        <v>11523898</v>
      </c>
      <c r="S30" s="222">
        <f t="shared" si="29"/>
        <v>2893602</v>
      </c>
    </row>
    <row r="31" spans="1:19" x14ac:dyDescent="0.25">
      <c r="A31" s="1" t="s">
        <v>318</v>
      </c>
      <c r="B31" s="1" t="s">
        <v>404</v>
      </c>
      <c r="C31" s="29">
        <v>230101010111158</v>
      </c>
      <c r="D31" s="30" t="s">
        <v>28</v>
      </c>
      <c r="E31" s="152">
        <v>2000000</v>
      </c>
      <c r="F31" s="152">
        <f t="shared" si="24"/>
        <v>98580450</v>
      </c>
      <c r="G31" s="152">
        <v>1080450</v>
      </c>
      <c r="H31" s="152"/>
      <c r="I31" s="152">
        <f t="shared" si="25"/>
        <v>919550</v>
      </c>
      <c r="J31" s="152"/>
      <c r="K31" s="152">
        <v>96580450</v>
      </c>
      <c r="L31" s="152">
        <f t="shared" si="26"/>
        <v>97500000</v>
      </c>
      <c r="M31" s="152">
        <f>358490+3584900</f>
        <v>3943390</v>
      </c>
      <c r="N31" s="152"/>
      <c r="O31" s="152">
        <f t="shared" si="27"/>
        <v>93556610</v>
      </c>
      <c r="P31" s="152"/>
      <c r="Q31" s="152"/>
      <c r="R31" s="222">
        <f t="shared" si="28"/>
        <v>93556610</v>
      </c>
      <c r="S31" s="222">
        <f t="shared" si="29"/>
        <v>5023840</v>
      </c>
    </row>
    <row r="32" spans="1:19" ht="22.5" x14ac:dyDescent="0.25">
      <c r="A32" s="96" t="s">
        <v>315</v>
      </c>
      <c r="B32" s="96"/>
      <c r="C32" s="26">
        <v>2301010101112</v>
      </c>
      <c r="D32" s="28" t="s">
        <v>29</v>
      </c>
      <c r="E32" s="103">
        <f>+E33+E39</f>
        <v>474169178</v>
      </c>
      <c r="F32" s="27">
        <f t="shared" ref="F32:R32" si="30">+F33+F39</f>
        <v>437419178</v>
      </c>
      <c r="G32" s="27">
        <f t="shared" si="30"/>
        <v>115860370</v>
      </c>
      <c r="H32" s="27">
        <f t="shared" si="30"/>
        <v>7000000</v>
      </c>
      <c r="I32" s="27">
        <f t="shared" si="30"/>
        <v>365308808</v>
      </c>
      <c r="J32" s="27">
        <f t="shared" si="30"/>
        <v>103736437</v>
      </c>
      <c r="K32" s="27">
        <f t="shared" si="30"/>
        <v>0</v>
      </c>
      <c r="L32" s="27">
        <f t="shared" si="30"/>
        <v>261572371</v>
      </c>
      <c r="M32" s="27">
        <f t="shared" si="30"/>
        <v>95296342</v>
      </c>
      <c r="N32" s="27">
        <f t="shared" si="30"/>
        <v>0</v>
      </c>
      <c r="O32" s="27">
        <f t="shared" si="30"/>
        <v>166276029</v>
      </c>
      <c r="P32" s="27">
        <f t="shared" si="30"/>
        <v>56944680</v>
      </c>
      <c r="Q32" s="27">
        <f t="shared" si="30"/>
        <v>-43750000</v>
      </c>
      <c r="R32" s="27">
        <f t="shared" si="30"/>
        <v>65581349</v>
      </c>
      <c r="S32" s="27">
        <f t="shared" ref="S32" si="31">+S33+S39</f>
        <v>371837829</v>
      </c>
    </row>
    <row r="33" spans="1:19" ht="22.5" x14ac:dyDescent="0.25">
      <c r="A33" s="96" t="s">
        <v>315</v>
      </c>
      <c r="B33" s="96"/>
      <c r="C33" s="26">
        <v>23010101011121</v>
      </c>
      <c r="D33" s="28" t="s">
        <v>30</v>
      </c>
      <c r="E33" s="103">
        <f>SUM(E34:E38)</f>
        <v>205552928</v>
      </c>
      <c r="F33" s="27">
        <f t="shared" ref="F33:R33" si="32">SUM(F34:F38)</f>
        <v>197702928</v>
      </c>
      <c r="G33" s="27">
        <f t="shared" si="32"/>
        <v>51813598</v>
      </c>
      <c r="H33" s="27">
        <f t="shared" si="32"/>
        <v>7000000</v>
      </c>
      <c r="I33" s="27">
        <f t="shared" si="32"/>
        <v>160739330</v>
      </c>
      <c r="J33" s="27">
        <f t="shared" si="32"/>
        <v>43162993</v>
      </c>
      <c r="K33" s="27">
        <f t="shared" si="32"/>
        <v>0</v>
      </c>
      <c r="L33" s="27">
        <f t="shared" si="32"/>
        <v>117576337</v>
      </c>
      <c r="M33" s="27">
        <f t="shared" si="32"/>
        <v>40695500</v>
      </c>
      <c r="N33" s="27">
        <f t="shared" si="32"/>
        <v>0</v>
      </c>
      <c r="O33" s="27">
        <f t="shared" si="32"/>
        <v>76880837</v>
      </c>
      <c r="P33" s="27">
        <f t="shared" si="32"/>
        <v>24704500</v>
      </c>
      <c r="Q33" s="27">
        <f t="shared" si="32"/>
        <v>-14850000</v>
      </c>
      <c r="R33" s="27">
        <f t="shared" si="32"/>
        <v>37326337</v>
      </c>
      <c r="S33" s="27">
        <f t="shared" ref="S33" si="33">SUM(S34:S38)</f>
        <v>160376591</v>
      </c>
    </row>
    <row r="34" spans="1:19" x14ac:dyDescent="0.25">
      <c r="A34" s="1" t="s">
        <v>318</v>
      </c>
      <c r="B34" s="1" t="s">
        <v>403</v>
      </c>
      <c r="C34" s="29">
        <v>230101010111211</v>
      </c>
      <c r="D34" s="30" t="s">
        <v>31</v>
      </c>
      <c r="E34" s="152">
        <f>38850000*105%</f>
        <v>40792500</v>
      </c>
      <c r="F34" s="152">
        <f>+E34+H34+K34+N34+Q34</f>
        <v>43792500</v>
      </c>
      <c r="G34" s="152">
        <f>3537700+3410800+2874100</f>
        <v>9822600</v>
      </c>
      <c r="H34" s="152"/>
      <c r="I34" s="152">
        <f>+E34-G34+H34</f>
        <v>30969900</v>
      </c>
      <c r="J34" s="152">
        <f>3315000+4432293+5122100</f>
        <v>12869393</v>
      </c>
      <c r="K34" s="152"/>
      <c r="L34" s="152">
        <f>+I34+K34-J34</f>
        <v>18100507</v>
      </c>
      <c r="M34" s="152">
        <f>3498800+3584700+3186700</f>
        <v>10270200</v>
      </c>
      <c r="N34" s="152"/>
      <c r="O34" s="152">
        <f>+L34+N34-M34</f>
        <v>7830307</v>
      </c>
      <c r="P34" s="152">
        <f>3158600+3195400</f>
        <v>6354000</v>
      </c>
      <c r="Q34" s="152">
        <v>3000000</v>
      </c>
      <c r="R34" s="224">
        <f>+O34+Q34-P34</f>
        <v>4476307</v>
      </c>
      <c r="S34" s="224">
        <f t="shared" ref="S34:S38" si="34">+F34-R34</f>
        <v>39316193</v>
      </c>
    </row>
    <row r="35" spans="1:19" x14ac:dyDescent="0.25">
      <c r="A35" s="1" t="s">
        <v>318</v>
      </c>
      <c r="B35" s="1" t="s">
        <v>403</v>
      </c>
      <c r="C35" s="29">
        <v>230101010111212</v>
      </c>
      <c r="D35" s="30" t="s">
        <v>32</v>
      </c>
      <c r="E35" s="152">
        <f>21000000*105%</f>
        <v>22050000</v>
      </c>
      <c r="F35" s="152">
        <f>+E35+H35+K35+N35+Q35</f>
        <v>29050000</v>
      </c>
      <c r="G35" s="152">
        <f>1177248+10623450</f>
        <v>11800698</v>
      </c>
      <c r="H35" s="152">
        <v>7000000</v>
      </c>
      <c r="I35" s="152">
        <f>+E35-G35+H35</f>
        <v>17249302</v>
      </c>
      <c r="J35" s="152"/>
      <c r="K35" s="152"/>
      <c r="L35" s="152">
        <f>+I35+K35-J35</f>
        <v>17249302</v>
      </c>
      <c r="M35" s="152"/>
      <c r="N35" s="152"/>
      <c r="O35" s="152">
        <f>+L35+N35-M35</f>
        <v>17249302</v>
      </c>
      <c r="P35" s="152"/>
      <c r="Q35" s="152"/>
      <c r="R35" s="222">
        <f>+O35+Q35-P35</f>
        <v>17249302</v>
      </c>
      <c r="S35" s="222">
        <f t="shared" si="34"/>
        <v>11800698</v>
      </c>
    </row>
    <row r="36" spans="1:19" x14ac:dyDescent="0.25">
      <c r="A36" s="1" t="s">
        <v>318</v>
      </c>
      <c r="B36" s="1" t="s">
        <v>403</v>
      </c>
      <c r="C36" s="29">
        <v>230101010111213</v>
      </c>
      <c r="D36" s="30" t="s">
        <v>33</v>
      </c>
      <c r="E36" s="152">
        <f>74300000*105%</f>
        <v>78015000</v>
      </c>
      <c r="F36" s="152">
        <f>+E36+H36+K36+N36+Q36</f>
        <v>71015000</v>
      </c>
      <c r="G36" s="152">
        <f>5566900+5628200+5328400</f>
        <v>16523500</v>
      </c>
      <c r="H36" s="152"/>
      <c r="I36" s="152">
        <f>+E36-G36+H36</f>
        <v>61491500</v>
      </c>
      <c r="J36" s="152">
        <f>5521700+5907800+5461500</f>
        <v>16891000</v>
      </c>
      <c r="K36" s="152"/>
      <c r="L36" s="152">
        <f>+I36+K36-J36</f>
        <v>44600500</v>
      </c>
      <c r="M36" s="152">
        <f>5636100+5889700+5267900</f>
        <v>16793700</v>
      </c>
      <c r="N36" s="152"/>
      <c r="O36" s="152">
        <f>+L36+N36-M36</f>
        <v>27806800</v>
      </c>
      <c r="P36" s="152">
        <f>5274600+5267900</f>
        <v>10542500</v>
      </c>
      <c r="Q36" s="152">
        <v>-7000000</v>
      </c>
      <c r="R36" s="223">
        <f>+O36+Q36-P36</f>
        <v>10264300</v>
      </c>
      <c r="S36" s="223">
        <f t="shared" si="34"/>
        <v>60750700</v>
      </c>
    </row>
    <row r="37" spans="1:19" x14ac:dyDescent="0.25">
      <c r="A37" s="1" t="s">
        <v>318</v>
      </c>
      <c r="B37" s="1" t="s">
        <v>403</v>
      </c>
      <c r="C37" s="29">
        <v>230101010111214</v>
      </c>
      <c r="D37" s="30" t="s">
        <v>34</v>
      </c>
      <c r="E37" s="153">
        <v>60836678</v>
      </c>
      <c r="F37" s="153">
        <f>+E37+H37+K37+N37+Q37</f>
        <v>52836678</v>
      </c>
      <c r="G37" s="153">
        <f>4777400+4458400+4431000</f>
        <v>13666800</v>
      </c>
      <c r="H37" s="153"/>
      <c r="I37" s="153">
        <f>+E37-G37+H37</f>
        <v>47169878</v>
      </c>
      <c r="J37" s="153">
        <f>4469400+4476400+4456800</f>
        <v>13402600</v>
      </c>
      <c r="K37" s="153"/>
      <c r="L37" s="153">
        <f>+I37+K37-J37</f>
        <v>33767278</v>
      </c>
      <c r="M37" s="153">
        <f>4469000+4788200+4374400</f>
        <v>13631600</v>
      </c>
      <c r="N37" s="153"/>
      <c r="O37" s="153">
        <f>+L37+N37-M37</f>
        <v>20135678</v>
      </c>
      <c r="P37" s="153">
        <f>3904000+3904000</f>
        <v>7808000</v>
      </c>
      <c r="Q37" s="153">
        <v>-8000000</v>
      </c>
      <c r="R37" s="225">
        <f>+O37+Q37-P37</f>
        <v>4327678</v>
      </c>
      <c r="S37" s="225">
        <f t="shared" si="34"/>
        <v>48509000</v>
      </c>
    </row>
    <row r="38" spans="1:19" ht="22.5" x14ac:dyDescent="0.25">
      <c r="A38" s="1" t="s">
        <v>318</v>
      </c>
      <c r="B38" s="1" t="s">
        <v>403</v>
      </c>
      <c r="C38" s="29">
        <v>230101010111215</v>
      </c>
      <c r="D38" s="30" t="s">
        <v>35</v>
      </c>
      <c r="E38" s="152">
        <f>3675000*105%</f>
        <v>3858750</v>
      </c>
      <c r="F38" s="152">
        <f>+E38+H38+K38+N38+Q38</f>
        <v>1008750</v>
      </c>
      <c r="G38" s="152"/>
      <c r="H38" s="152"/>
      <c r="I38" s="152">
        <f>+E38-G38+H38</f>
        <v>3858750</v>
      </c>
      <c r="J38" s="152"/>
      <c r="K38" s="152"/>
      <c r="L38" s="152">
        <f>+I38+K38-J38</f>
        <v>3858750</v>
      </c>
      <c r="M38" s="152"/>
      <c r="N38" s="152"/>
      <c r="O38" s="152">
        <f>+L38+N38-M38</f>
        <v>3858750</v>
      </c>
      <c r="P38" s="152"/>
      <c r="Q38" s="152">
        <v>-2850000</v>
      </c>
      <c r="R38" s="223">
        <f>+O38+Q38-P38</f>
        <v>1008750</v>
      </c>
      <c r="S38" s="223">
        <f t="shared" si="34"/>
        <v>0</v>
      </c>
    </row>
    <row r="39" spans="1:19" ht="22.5" x14ac:dyDescent="0.25">
      <c r="A39" s="96" t="s">
        <v>315</v>
      </c>
      <c r="B39" s="96"/>
      <c r="C39" s="26">
        <v>23010101011122</v>
      </c>
      <c r="D39" s="28" t="s">
        <v>36</v>
      </c>
      <c r="E39" s="103">
        <f>SUM(E40:E47)</f>
        <v>268616250</v>
      </c>
      <c r="F39" s="27">
        <f t="shared" ref="F39:R39" si="35">SUM(F40:F47)</f>
        <v>239716250</v>
      </c>
      <c r="G39" s="27">
        <f t="shared" si="35"/>
        <v>64046772</v>
      </c>
      <c r="H39" s="27">
        <f t="shared" si="35"/>
        <v>0</v>
      </c>
      <c r="I39" s="27">
        <f t="shared" si="35"/>
        <v>204569478</v>
      </c>
      <c r="J39" s="27">
        <f t="shared" si="35"/>
        <v>60573444</v>
      </c>
      <c r="K39" s="27">
        <f t="shared" si="35"/>
        <v>0</v>
      </c>
      <c r="L39" s="27">
        <f t="shared" si="35"/>
        <v>143996034</v>
      </c>
      <c r="M39" s="27">
        <f t="shared" si="35"/>
        <v>54600842</v>
      </c>
      <c r="N39" s="27">
        <f t="shared" si="35"/>
        <v>0</v>
      </c>
      <c r="O39" s="27">
        <f t="shared" si="35"/>
        <v>89395192</v>
      </c>
      <c r="P39" s="27">
        <f t="shared" si="35"/>
        <v>32240180</v>
      </c>
      <c r="Q39" s="27">
        <f t="shared" si="35"/>
        <v>-28900000</v>
      </c>
      <c r="R39" s="27">
        <f t="shared" si="35"/>
        <v>28255012</v>
      </c>
      <c r="S39" s="27">
        <f t="shared" ref="S39" si="36">SUM(S40:S47)</f>
        <v>211461238</v>
      </c>
    </row>
    <row r="40" spans="1:19" ht="22.5" x14ac:dyDescent="0.25">
      <c r="A40" s="1" t="s">
        <v>318</v>
      </c>
      <c r="B40" s="1" t="s">
        <v>403</v>
      </c>
      <c r="C40" s="29">
        <v>230101010111221</v>
      </c>
      <c r="D40" s="30" t="s">
        <v>37</v>
      </c>
      <c r="E40" s="152">
        <f>4950000*105%</f>
        <v>5197500</v>
      </c>
      <c r="F40" s="152">
        <f t="shared" ref="F40:F47" si="37">+E40+H40+K40+N40+Q40</f>
        <v>6197500</v>
      </c>
      <c r="G40" s="152">
        <f>442800+426300+359100</f>
        <v>1228200</v>
      </c>
      <c r="H40" s="152"/>
      <c r="I40" s="152">
        <f t="shared" ref="I40:I47" si="38">+E40-G40+H40</f>
        <v>3969300</v>
      </c>
      <c r="J40" s="152">
        <f>414500+550150+639500</f>
        <v>1604150</v>
      </c>
      <c r="K40" s="152"/>
      <c r="L40" s="152">
        <f t="shared" ref="L40:L47" si="39">+I40+K40-J40</f>
        <v>2365150</v>
      </c>
      <c r="M40" s="152">
        <f>436700+447600+397800</f>
        <v>1282100</v>
      </c>
      <c r="N40" s="152"/>
      <c r="O40" s="152">
        <f t="shared" ref="O40:O47" si="40">+L40+N40-M40</f>
        <v>1083050</v>
      </c>
      <c r="P40" s="152">
        <f>394400+398800</f>
        <v>793200</v>
      </c>
      <c r="Q40" s="152">
        <v>1000000</v>
      </c>
      <c r="R40" s="221">
        <f t="shared" ref="R40:S47" si="41">+O40+Q40-P40</f>
        <v>1289850</v>
      </c>
      <c r="S40" s="221">
        <f t="shared" ref="S40:S47" si="42">+F40-R40</f>
        <v>4907650</v>
      </c>
    </row>
    <row r="41" spans="1:19" ht="22.5" x14ac:dyDescent="0.25">
      <c r="A41" s="1" t="s">
        <v>318</v>
      </c>
      <c r="B41" s="1" t="s">
        <v>403</v>
      </c>
      <c r="C41" s="29">
        <v>230101010111222</v>
      </c>
      <c r="D41" s="30" t="s">
        <v>38</v>
      </c>
      <c r="E41" s="152">
        <f>29250000*105%</f>
        <v>30712500</v>
      </c>
      <c r="F41" s="152">
        <f t="shared" si="37"/>
        <v>32712500</v>
      </c>
      <c r="G41" s="152">
        <f>2652700+2557600+2155900</f>
        <v>7366200</v>
      </c>
      <c r="H41" s="152"/>
      <c r="I41" s="152">
        <f t="shared" si="38"/>
        <v>23346300</v>
      </c>
      <c r="J41" s="152">
        <f>2485600+3325597+3841200</f>
        <v>9652397</v>
      </c>
      <c r="K41" s="152"/>
      <c r="L41" s="152">
        <f t="shared" si="39"/>
        <v>13693903</v>
      </c>
      <c r="M41" s="152">
        <f>2624000+2688600+2389800</f>
        <v>7702400</v>
      </c>
      <c r="N41" s="152"/>
      <c r="O41" s="152">
        <f t="shared" si="40"/>
        <v>5991503</v>
      </c>
      <c r="P41" s="152">
        <f>2368800+2396400</f>
        <v>4765200</v>
      </c>
      <c r="Q41" s="152">
        <v>2000000</v>
      </c>
      <c r="R41" s="221">
        <f t="shared" si="41"/>
        <v>3226303</v>
      </c>
      <c r="S41" s="221">
        <f t="shared" si="42"/>
        <v>29486197</v>
      </c>
    </row>
    <row r="42" spans="1:19" ht="22.5" x14ac:dyDescent="0.25">
      <c r="A42" s="1" t="s">
        <v>318</v>
      </c>
      <c r="B42" s="1" t="s">
        <v>403</v>
      </c>
      <c r="C42" s="29">
        <v>230101010111223</v>
      </c>
      <c r="D42" s="30" t="s">
        <v>39</v>
      </c>
      <c r="E42" s="152">
        <f>9850000*105%</f>
        <v>10342500</v>
      </c>
      <c r="F42" s="152">
        <f t="shared" si="37"/>
        <v>11042500</v>
      </c>
      <c r="G42" s="152">
        <f>885300+853200+718400</f>
        <v>2456900</v>
      </c>
      <c r="H42" s="152"/>
      <c r="I42" s="152">
        <f t="shared" si="38"/>
        <v>7885600</v>
      </c>
      <c r="J42" s="152">
        <f>829400+1106201+1280400</f>
        <v>3216001</v>
      </c>
      <c r="K42" s="152"/>
      <c r="L42" s="152">
        <f t="shared" si="39"/>
        <v>4669599</v>
      </c>
      <c r="M42" s="152">
        <f>874900+896400+796800</f>
        <v>2568100</v>
      </c>
      <c r="N42" s="152"/>
      <c r="O42" s="152">
        <f t="shared" si="40"/>
        <v>2101499</v>
      </c>
      <c r="P42" s="152">
        <f>789700+798900</f>
        <v>1588600</v>
      </c>
      <c r="Q42" s="152">
        <v>700000</v>
      </c>
      <c r="R42" s="221">
        <f t="shared" si="41"/>
        <v>1212899</v>
      </c>
      <c r="S42" s="221">
        <f t="shared" si="42"/>
        <v>9829601</v>
      </c>
    </row>
    <row r="43" spans="1:19" ht="22.5" x14ac:dyDescent="0.25">
      <c r="A43" s="1" t="s">
        <v>318</v>
      </c>
      <c r="B43" s="1" t="s">
        <v>403</v>
      </c>
      <c r="C43" s="29">
        <v>230101010111224</v>
      </c>
      <c r="D43" s="30" t="s">
        <v>40</v>
      </c>
      <c r="E43" s="152">
        <f>4850000*105%</f>
        <v>5092500</v>
      </c>
      <c r="F43" s="152">
        <f t="shared" si="37"/>
        <v>6092500</v>
      </c>
      <c r="G43" s="152">
        <f>430800+442800+426300+359100</f>
        <v>1659000</v>
      </c>
      <c r="H43" s="152"/>
      <c r="I43" s="152">
        <f t="shared" si="38"/>
        <v>3433500</v>
      </c>
      <c r="J43" s="152">
        <f>414500+550150+639500</f>
        <v>1604150</v>
      </c>
      <c r="K43" s="152"/>
      <c r="L43" s="152">
        <f t="shared" si="39"/>
        <v>1829350</v>
      </c>
      <c r="M43" s="152">
        <f>436700+447600+397800</f>
        <v>1282100</v>
      </c>
      <c r="N43" s="152"/>
      <c r="O43" s="152">
        <f t="shared" si="40"/>
        <v>547250</v>
      </c>
      <c r="P43" s="152">
        <f>394400+398800</f>
        <v>793200</v>
      </c>
      <c r="Q43" s="152">
        <v>1000000</v>
      </c>
      <c r="R43" s="221">
        <f t="shared" si="41"/>
        <v>754050</v>
      </c>
      <c r="S43" s="221">
        <f t="shared" si="42"/>
        <v>5338450</v>
      </c>
    </row>
    <row r="44" spans="1:19" x14ac:dyDescent="0.25">
      <c r="A44" s="1" t="s">
        <v>318</v>
      </c>
      <c r="B44" s="1" t="s">
        <v>403</v>
      </c>
      <c r="C44" s="29">
        <v>230101010111225</v>
      </c>
      <c r="D44" s="30" t="s">
        <v>32</v>
      </c>
      <c r="E44" s="152">
        <f>+E29</f>
        <v>126945000</v>
      </c>
      <c r="F44" s="152">
        <f t="shared" si="37"/>
        <v>95345000</v>
      </c>
      <c r="G44" s="152">
        <f>6129568+10517289+652608+895805+6650977+5590025</f>
        <v>30436272</v>
      </c>
      <c r="H44" s="152"/>
      <c r="I44" s="152">
        <f t="shared" si="38"/>
        <v>96508728</v>
      </c>
      <c r="J44" s="152">
        <f>5831922+6974337+1258433+9231154</f>
        <v>23295846</v>
      </c>
      <c r="K44" s="152"/>
      <c r="L44" s="152">
        <f t="shared" si="39"/>
        <v>73212882</v>
      </c>
      <c r="M44" s="152">
        <f>2780640+6218338+5265392+877036+802914+4769022</f>
        <v>20713342</v>
      </c>
      <c r="N44" s="152"/>
      <c r="O44" s="152">
        <f t="shared" si="40"/>
        <v>52499540</v>
      </c>
      <c r="P44" s="152">
        <f>896373+4646235+4781672</f>
        <v>10324280</v>
      </c>
      <c r="Q44" s="152">
        <v>-31600000</v>
      </c>
      <c r="R44" s="223">
        <f t="shared" si="41"/>
        <v>10575260</v>
      </c>
      <c r="S44" s="223">
        <f t="shared" si="42"/>
        <v>84769740</v>
      </c>
    </row>
    <row r="45" spans="1:19" x14ac:dyDescent="0.25">
      <c r="A45" s="1" t="s">
        <v>318</v>
      </c>
      <c r="B45" s="1" t="s">
        <v>403</v>
      </c>
      <c r="C45" s="29">
        <v>230101010111226</v>
      </c>
      <c r="D45" s="30" t="s">
        <v>33</v>
      </c>
      <c r="E45" s="152">
        <f>16500000*105%</f>
        <v>17325000</v>
      </c>
      <c r="F45" s="152">
        <f t="shared" si="37"/>
        <v>17325000</v>
      </c>
      <c r="G45" s="152">
        <f>1510200+1375400+1300400</f>
        <v>4186000</v>
      </c>
      <c r="H45" s="152"/>
      <c r="I45" s="152">
        <f t="shared" si="38"/>
        <v>13139000</v>
      </c>
      <c r="J45" s="152">
        <f>1325400+1334200+1284400</f>
        <v>3944000</v>
      </c>
      <c r="K45" s="152"/>
      <c r="L45" s="152">
        <f t="shared" si="39"/>
        <v>9195000</v>
      </c>
      <c r="M45" s="152">
        <f>1407400+1382600+1267500</f>
        <v>4057500</v>
      </c>
      <c r="N45" s="152"/>
      <c r="O45" s="152">
        <f t="shared" si="40"/>
        <v>5137500</v>
      </c>
      <c r="P45" s="152">
        <f>1267500+1267500</f>
        <v>2535000</v>
      </c>
      <c r="Q45" s="152"/>
      <c r="R45" s="222">
        <f t="shared" si="41"/>
        <v>2602500</v>
      </c>
      <c r="S45" s="222">
        <f t="shared" si="42"/>
        <v>14722500</v>
      </c>
    </row>
    <row r="46" spans="1:19" x14ac:dyDescent="0.25">
      <c r="A46" s="1" t="s">
        <v>318</v>
      </c>
      <c r="B46" s="1" t="s">
        <v>403</v>
      </c>
      <c r="C46" s="29">
        <v>230101010111227</v>
      </c>
      <c r="D46" s="30" t="s">
        <v>34</v>
      </c>
      <c r="E46" s="152">
        <f>64100000*105%</f>
        <v>67305000</v>
      </c>
      <c r="F46" s="152">
        <f t="shared" si="37"/>
        <v>65305000</v>
      </c>
      <c r="G46" s="152">
        <f>5216600+5423200+4878000</f>
        <v>15517800</v>
      </c>
      <c r="H46" s="152"/>
      <c r="I46" s="152">
        <f t="shared" si="38"/>
        <v>51787200</v>
      </c>
      <c r="J46" s="152">
        <f>5199800+5748600+5068000</f>
        <v>16016400</v>
      </c>
      <c r="K46" s="152"/>
      <c r="L46" s="152">
        <f t="shared" si="39"/>
        <v>35770800</v>
      </c>
      <c r="M46" s="152">
        <f>5475800+5462400+4852800</f>
        <v>15791000</v>
      </c>
      <c r="N46" s="152"/>
      <c r="O46" s="152">
        <f t="shared" si="40"/>
        <v>19979800</v>
      </c>
      <c r="P46" s="152">
        <f>5332600+5323200</f>
        <v>10655800</v>
      </c>
      <c r="Q46" s="152">
        <v>-2000000</v>
      </c>
      <c r="R46" s="223">
        <f t="shared" si="41"/>
        <v>7324000</v>
      </c>
      <c r="S46" s="223">
        <f t="shared" si="42"/>
        <v>57981000</v>
      </c>
    </row>
    <row r="47" spans="1:19" ht="22.5" x14ac:dyDescent="0.25">
      <c r="A47" s="1" t="s">
        <v>318</v>
      </c>
      <c r="B47" s="1" t="s">
        <v>403</v>
      </c>
      <c r="C47" s="29">
        <v>230101010111228</v>
      </c>
      <c r="D47" s="30" t="s">
        <v>35</v>
      </c>
      <c r="E47" s="152">
        <f>5425000*105%</f>
        <v>5696250</v>
      </c>
      <c r="F47" s="152">
        <f t="shared" si="37"/>
        <v>5696250</v>
      </c>
      <c r="G47" s="152">
        <f>422100+413000+361300</f>
        <v>1196400</v>
      </c>
      <c r="H47" s="152"/>
      <c r="I47" s="152">
        <f t="shared" si="38"/>
        <v>4499850</v>
      </c>
      <c r="J47" s="152">
        <f>410900+437900+391700</f>
        <v>1240500</v>
      </c>
      <c r="K47" s="152"/>
      <c r="L47" s="152">
        <f t="shared" si="39"/>
        <v>3259350</v>
      </c>
      <c r="M47" s="152">
        <f>382600+428200+393500</f>
        <v>1204300</v>
      </c>
      <c r="N47" s="152"/>
      <c r="O47" s="152">
        <f t="shared" si="40"/>
        <v>2055050</v>
      </c>
      <c r="P47" s="152">
        <f>392100+392800</f>
        <v>784900</v>
      </c>
      <c r="Q47" s="152"/>
      <c r="R47" s="223">
        <f t="shared" si="41"/>
        <v>1270150</v>
      </c>
      <c r="S47" s="223">
        <f t="shared" si="42"/>
        <v>4426100</v>
      </c>
    </row>
    <row r="48" spans="1:19" x14ac:dyDescent="0.25">
      <c r="A48" s="96" t="s">
        <v>315</v>
      </c>
      <c r="B48" s="96"/>
      <c r="C48" s="26">
        <v>230101010112</v>
      </c>
      <c r="D48" s="28" t="s">
        <v>41</v>
      </c>
      <c r="E48" s="103">
        <f>+E49+E55</f>
        <v>153516175</v>
      </c>
      <c r="F48" s="27">
        <f t="shared" ref="F48:R48" si="43">+F49+F55</f>
        <v>271765575</v>
      </c>
      <c r="G48" s="27">
        <f t="shared" si="43"/>
        <v>117493854</v>
      </c>
      <c r="H48" s="27">
        <f t="shared" si="43"/>
        <v>104000000</v>
      </c>
      <c r="I48" s="27">
        <f t="shared" si="43"/>
        <v>140022321</v>
      </c>
      <c r="J48" s="27">
        <f t="shared" si="43"/>
        <v>96573767</v>
      </c>
      <c r="K48" s="27">
        <f t="shared" si="43"/>
        <v>-10750600</v>
      </c>
      <c r="L48" s="27">
        <f t="shared" si="43"/>
        <v>32697954</v>
      </c>
      <c r="M48" s="27">
        <f t="shared" si="43"/>
        <v>2490248</v>
      </c>
      <c r="N48" s="27">
        <f t="shared" si="43"/>
        <v>1000000</v>
      </c>
      <c r="O48" s="27">
        <f t="shared" si="43"/>
        <v>31207706</v>
      </c>
      <c r="P48" s="27">
        <f t="shared" si="43"/>
        <v>20292132</v>
      </c>
      <c r="Q48" s="27">
        <f t="shared" si="43"/>
        <v>24000000</v>
      </c>
      <c r="R48" s="27">
        <f t="shared" si="43"/>
        <v>34915574</v>
      </c>
      <c r="S48" s="27">
        <f t="shared" ref="S48" si="44">+S49+S55</f>
        <v>236850001</v>
      </c>
    </row>
    <row r="49" spans="1:19" x14ac:dyDescent="0.25">
      <c r="A49" s="96" t="s">
        <v>315</v>
      </c>
      <c r="B49" s="96"/>
      <c r="C49" s="26">
        <v>2301010101121</v>
      </c>
      <c r="D49" s="28" t="s">
        <v>42</v>
      </c>
      <c r="E49" s="103">
        <f>SUM(E50:E54)</f>
        <v>76501000</v>
      </c>
      <c r="F49" s="27">
        <f t="shared" ref="F49:R49" si="45">SUM(F50:F54)</f>
        <v>119978500</v>
      </c>
      <c r="G49" s="27">
        <f t="shared" si="45"/>
        <v>53500000</v>
      </c>
      <c r="H49" s="27">
        <f t="shared" si="45"/>
        <v>58000000</v>
      </c>
      <c r="I49" s="27">
        <f t="shared" si="45"/>
        <v>81001000</v>
      </c>
      <c r="J49" s="27">
        <f t="shared" si="45"/>
        <v>54573000</v>
      </c>
      <c r="K49" s="27">
        <f t="shared" si="45"/>
        <v>-14522500</v>
      </c>
      <c r="L49" s="27">
        <f t="shared" si="45"/>
        <v>11905500</v>
      </c>
      <c r="M49" s="27">
        <f t="shared" si="45"/>
        <v>500000</v>
      </c>
      <c r="N49" s="27">
        <f t="shared" si="45"/>
        <v>0</v>
      </c>
      <c r="O49" s="27">
        <f t="shared" si="45"/>
        <v>11405500</v>
      </c>
      <c r="P49" s="27">
        <f t="shared" si="45"/>
        <v>1650000</v>
      </c>
      <c r="Q49" s="27">
        <f t="shared" si="45"/>
        <v>0</v>
      </c>
      <c r="R49" s="27">
        <f t="shared" si="45"/>
        <v>9755500</v>
      </c>
      <c r="S49" s="27">
        <f t="shared" ref="S49" si="46">SUM(S50:S54)</f>
        <v>110223000</v>
      </c>
    </row>
    <row r="50" spans="1:19" x14ac:dyDescent="0.25">
      <c r="A50" s="1" t="s">
        <v>318</v>
      </c>
      <c r="B50" s="1" t="s">
        <v>404</v>
      </c>
      <c r="C50" s="29">
        <v>23010101011211</v>
      </c>
      <c r="D50" s="30" t="s">
        <v>43</v>
      </c>
      <c r="E50" s="152">
        <v>7000000</v>
      </c>
      <c r="F50" s="152">
        <f>+E50+H50+K50+N50+Q50</f>
        <v>50000000</v>
      </c>
      <c r="G50" s="152"/>
      <c r="H50" s="152">
        <v>43000000</v>
      </c>
      <c r="I50" s="152">
        <f>+E50-G50+H50</f>
        <v>50000000</v>
      </c>
      <c r="J50" s="152">
        <v>50000000</v>
      </c>
      <c r="K50" s="152"/>
      <c r="L50" s="152">
        <f>+I50+K50-J50</f>
        <v>0</v>
      </c>
      <c r="M50" s="152"/>
      <c r="N50" s="152"/>
      <c r="O50" s="152">
        <f>+L50+N50-M50</f>
        <v>0</v>
      </c>
      <c r="P50" s="152"/>
      <c r="Q50" s="152"/>
      <c r="R50" s="222">
        <f>+O50+Q50-P50</f>
        <v>0</v>
      </c>
      <c r="S50" s="222">
        <f t="shared" ref="S50:S54" si="47">+F50-R50</f>
        <v>50000000</v>
      </c>
    </row>
    <row r="51" spans="1:19" x14ac:dyDescent="0.25">
      <c r="A51" s="1" t="s">
        <v>318</v>
      </c>
      <c r="B51" s="1" t="s">
        <v>404</v>
      </c>
      <c r="C51" s="29">
        <v>23010101011212</v>
      </c>
      <c r="D51" s="30" t="s">
        <v>44</v>
      </c>
      <c r="E51" s="152">
        <v>42500000</v>
      </c>
      <c r="F51" s="152">
        <f>+E51+H51+K51+N51+Q51</f>
        <v>43573000</v>
      </c>
      <c r="G51" s="152">
        <f>13000000+2000000+6500000+3000000+11100000+1500000+1400000</f>
        <v>38500000</v>
      </c>
      <c r="H51" s="152">
        <f>-4000000+15000000</f>
        <v>11000000</v>
      </c>
      <c r="I51" s="152">
        <f>+E51-G51+H51</f>
        <v>15000000</v>
      </c>
      <c r="J51" s="152">
        <v>4573000</v>
      </c>
      <c r="K51" s="152">
        <v>-10427000</v>
      </c>
      <c r="L51" s="152">
        <f>+I51+K51-J51</f>
        <v>0</v>
      </c>
      <c r="M51" s="152">
        <v>500000</v>
      </c>
      <c r="N51" s="152">
        <v>500000</v>
      </c>
      <c r="O51" s="152">
        <f>+L51+N51-M51</f>
        <v>0</v>
      </c>
      <c r="P51" s="152"/>
      <c r="Q51" s="152"/>
      <c r="R51" s="222">
        <f>+O51+Q51-P51</f>
        <v>0</v>
      </c>
      <c r="S51" s="222">
        <f t="shared" si="47"/>
        <v>43573000</v>
      </c>
    </row>
    <row r="52" spans="1:19" x14ac:dyDescent="0.25">
      <c r="A52" s="1" t="s">
        <v>318</v>
      </c>
      <c r="B52" s="1" t="s">
        <v>404</v>
      </c>
      <c r="C52" s="29">
        <v>23010101011213</v>
      </c>
      <c r="D52" s="30" t="s">
        <v>45</v>
      </c>
      <c r="E52" s="152">
        <v>15000000</v>
      </c>
      <c r="F52" s="152">
        <f>+E52+H52+K52+N52+Q52</f>
        <v>8500000</v>
      </c>
      <c r="G52" s="152">
        <v>5000000</v>
      </c>
      <c r="H52" s="152">
        <v>-6000000</v>
      </c>
      <c r="I52" s="152">
        <f>+E52-G52+H52</f>
        <v>4000000</v>
      </c>
      <c r="J52" s="152"/>
      <c r="K52" s="152"/>
      <c r="L52" s="152">
        <f>+I52+K52-J52</f>
        <v>4000000</v>
      </c>
      <c r="M52" s="152"/>
      <c r="N52" s="152">
        <v>-500000</v>
      </c>
      <c r="O52" s="152">
        <f>+L52+N52-M52</f>
        <v>3500000</v>
      </c>
      <c r="P52" s="152">
        <v>3100000</v>
      </c>
      <c r="Q52" s="152"/>
      <c r="R52" s="222">
        <f>+O52+Q52-P52</f>
        <v>400000</v>
      </c>
      <c r="S52" s="222">
        <f t="shared" si="47"/>
        <v>8100000</v>
      </c>
    </row>
    <row r="53" spans="1:19" x14ac:dyDescent="0.25">
      <c r="A53" s="1" t="s">
        <v>318</v>
      </c>
      <c r="B53" s="1" t="s">
        <v>404</v>
      </c>
      <c r="C53" s="29">
        <v>23010101011214</v>
      </c>
      <c r="D53" s="30" t="s">
        <v>46</v>
      </c>
      <c r="E53" s="152">
        <v>1000</v>
      </c>
      <c r="F53" s="152">
        <f>+E53+H53+K53+N53+Q53</f>
        <v>10001000</v>
      </c>
      <c r="G53" s="152">
        <v>10000000</v>
      </c>
      <c r="H53" s="152">
        <v>10000000</v>
      </c>
      <c r="I53" s="152">
        <f>+E53-G53+H53</f>
        <v>1000</v>
      </c>
      <c r="J53" s="152"/>
      <c r="K53" s="152"/>
      <c r="L53" s="152">
        <f>+I53+K53-J53</f>
        <v>1000</v>
      </c>
      <c r="M53" s="152"/>
      <c r="N53" s="152"/>
      <c r="O53" s="152">
        <f>+L53+N53-M53</f>
        <v>1000</v>
      </c>
      <c r="P53" s="152">
        <v>-1450000</v>
      </c>
      <c r="Q53" s="152"/>
      <c r="R53" s="222">
        <f>+O53+Q53-P53</f>
        <v>1451000</v>
      </c>
      <c r="S53" s="222">
        <f t="shared" si="47"/>
        <v>8550000</v>
      </c>
    </row>
    <row r="54" spans="1:19" x14ac:dyDescent="0.25">
      <c r="A54" s="1" t="s">
        <v>318</v>
      </c>
      <c r="B54" s="1" t="s">
        <v>404</v>
      </c>
      <c r="C54" s="29">
        <v>23010101011215</v>
      </c>
      <c r="D54" s="30" t="s">
        <v>47</v>
      </c>
      <c r="E54" s="152">
        <v>12000000</v>
      </c>
      <c r="F54" s="152">
        <f>+E54+H54+K54+N54+Q54</f>
        <v>7904500</v>
      </c>
      <c r="G54" s="152"/>
      <c r="H54" s="152"/>
      <c r="I54" s="152">
        <f>+E54-G54+H54</f>
        <v>12000000</v>
      </c>
      <c r="J54" s="152"/>
      <c r="K54" s="152">
        <v>-4095500</v>
      </c>
      <c r="L54" s="152">
        <f>+I54+K54-J54</f>
        <v>7904500</v>
      </c>
      <c r="M54" s="152"/>
      <c r="N54" s="152"/>
      <c r="O54" s="152">
        <f>+L54+N54-M54</f>
        <v>7904500</v>
      </c>
      <c r="P54" s="152"/>
      <c r="Q54" s="152"/>
      <c r="R54" s="222">
        <f>+O54+Q54-P54</f>
        <v>7904500</v>
      </c>
      <c r="S54" s="222">
        <f t="shared" si="47"/>
        <v>0</v>
      </c>
    </row>
    <row r="55" spans="1:19" x14ac:dyDescent="0.25">
      <c r="A55" s="96" t="s">
        <v>315</v>
      </c>
      <c r="B55" s="96"/>
      <c r="C55" s="26">
        <v>2301010101122</v>
      </c>
      <c r="D55" s="28" t="s">
        <v>48</v>
      </c>
      <c r="E55" s="103">
        <f>SUM(E56:E62)</f>
        <v>77015175</v>
      </c>
      <c r="F55" s="103">
        <f t="shared" ref="F55:R55" si="48">SUM(F56:F62)</f>
        <v>151787075</v>
      </c>
      <c r="G55" s="103">
        <f t="shared" si="48"/>
        <v>63993854</v>
      </c>
      <c r="H55" s="103">
        <f t="shared" si="48"/>
        <v>46000000</v>
      </c>
      <c r="I55" s="103">
        <f t="shared" si="48"/>
        <v>59021321</v>
      </c>
      <c r="J55" s="103">
        <f t="shared" si="48"/>
        <v>42000767</v>
      </c>
      <c r="K55" s="103">
        <f t="shared" si="48"/>
        <v>3771900</v>
      </c>
      <c r="L55" s="103">
        <f t="shared" si="48"/>
        <v>20792454</v>
      </c>
      <c r="M55" s="103">
        <f t="shared" si="48"/>
        <v>1990248</v>
      </c>
      <c r="N55" s="103">
        <f t="shared" si="48"/>
        <v>1000000</v>
      </c>
      <c r="O55" s="103">
        <f t="shared" si="48"/>
        <v>19802206</v>
      </c>
      <c r="P55" s="103">
        <f t="shared" si="48"/>
        <v>18642132</v>
      </c>
      <c r="Q55" s="103">
        <f t="shared" si="48"/>
        <v>24000000</v>
      </c>
      <c r="R55" s="27">
        <f t="shared" si="48"/>
        <v>25160074</v>
      </c>
      <c r="S55" s="27">
        <f t="shared" ref="S55" si="49">SUM(S56:S62)</f>
        <v>126627001</v>
      </c>
    </row>
    <row r="56" spans="1:19" x14ac:dyDescent="0.25">
      <c r="A56" s="1" t="s">
        <v>318</v>
      </c>
      <c r="B56" s="1" t="s">
        <v>404</v>
      </c>
      <c r="C56" s="29">
        <v>23010101011221</v>
      </c>
      <c r="D56" s="30" t="s">
        <v>49</v>
      </c>
      <c r="E56" s="152">
        <v>30000000</v>
      </c>
      <c r="F56" s="152">
        <f t="shared" ref="F56:F62" si="50">+E56+H56+K56+N56+Q56</f>
        <v>30000000</v>
      </c>
      <c r="G56" s="152">
        <f>3602130+961976+240749+192599</f>
        <v>4997454</v>
      </c>
      <c r="H56" s="152"/>
      <c r="I56" s="152">
        <f t="shared" ref="I56:I62" si="51">+E56-G56+H56</f>
        <v>25002546</v>
      </c>
      <c r="J56" s="152">
        <f>2589745+1083327+666588+2961107</f>
        <v>7300767</v>
      </c>
      <c r="K56" s="152"/>
      <c r="L56" s="152">
        <f t="shared" ref="L56:L62" si="52">+I56+K56-J56</f>
        <v>17701779</v>
      </c>
      <c r="M56" s="152">
        <f>120374+1023891+1023891+1383654-1561562</f>
        <v>1990248</v>
      </c>
      <c r="N56" s="152"/>
      <c r="O56" s="152">
        <f t="shared" ref="O56:O62" si="53">+L56+N56-M56</f>
        <v>15711531</v>
      </c>
      <c r="P56" s="152">
        <f>1656085+1610327+1289483-63988-63988+1255209+1255209+1203795</f>
        <v>8142132</v>
      </c>
      <c r="Q56" s="152"/>
      <c r="R56" s="226">
        <f t="shared" ref="R56:S62" si="54">+O56+Q56-P56</f>
        <v>7569399</v>
      </c>
      <c r="S56" s="226">
        <f t="shared" ref="S56:S62" si="55">+F56-R56</f>
        <v>22430601</v>
      </c>
    </row>
    <row r="57" spans="1:19" x14ac:dyDescent="0.25">
      <c r="A57" s="1" t="s">
        <v>318</v>
      </c>
      <c r="B57" s="1" t="s">
        <v>404</v>
      </c>
      <c r="C57" s="29">
        <v>23010101011222</v>
      </c>
      <c r="D57" s="30" t="s">
        <v>50</v>
      </c>
      <c r="E57" s="152">
        <f>8000000*104%</f>
        <v>8320000</v>
      </c>
      <c r="F57" s="152">
        <f t="shared" si="50"/>
        <v>7996400</v>
      </c>
      <c r="G57" s="152">
        <v>7996400</v>
      </c>
      <c r="H57" s="152"/>
      <c r="I57" s="152">
        <f t="shared" si="51"/>
        <v>323600</v>
      </c>
      <c r="J57" s="152"/>
      <c r="K57" s="152">
        <v>-323600</v>
      </c>
      <c r="L57" s="152">
        <f t="shared" si="52"/>
        <v>0</v>
      </c>
      <c r="M57" s="152"/>
      <c r="N57" s="152"/>
      <c r="O57" s="152">
        <f t="shared" si="53"/>
        <v>0</v>
      </c>
      <c r="P57" s="152"/>
      <c r="Q57" s="152"/>
      <c r="R57" s="222">
        <f t="shared" si="54"/>
        <v>0</v>
      </c>
      <c r="S57" s="222">
        <f t="shared" si="55"/>
        <v>7996400</v>
      </c>
    </row>
    <row r="58" spans="1:19" ht="33.75" x14ac:dyDescent="0.25">
      <c r="A58" s="1" t="s">
        <v>322</v>
      </c>
      <c r="B58" s="1" t="s">
        <v>404</v>
      </c>
      <c r="C58" s="29">
        <v>23010101011223</v>
      </c>
      <c r="D58" s="30" t="s">
        <v>51</v>
      </c>
      <c r="E58" s="152">
        <v>3090675</v>
      </c>
      <c r="F58" s="152">
        <f t="shared" si="50"/>
        <v>3090675</v>
      </c>
      <c r="G58" s="152"/>
      <c r="H58" s="152"/>
      <c r="I58" s="152">
        <f t="shared" si="51"/>
        <v>3090675</v>
      </c>
      <c r="J58" s="152"/>
      <c r="K58" s="152"/>
      <c r="L58" s="152">
        <f t="shared" si="52"/>
        <v>3090675</v>
      </c>
      <c r="M58" s="152"/>
      <c r="N58" s="152"/>
      <c r="O58" s="152">
        <f t="shared" si="53"/>
        <v>3090675</v>
      </c>
      <c r="P58" s="152"/>
      <c r="Q58" s="152"/>
      <c r="R58" s="222">
        <f t="shared" si="54"/>
        <v>3090675</v>
      </c>
      <c r="S58" s="222">
        <f t="shared" si="55"/>
        <v>0</v>
      </c>
    </row>
    <row r="59" spans="1:19" x14ac:dyDescent="0.25">
      <c r="A59" s="1" t="s">
        <v>318</v>
      </c>
      <c r="B59" s="1" t="s">
        <v>404</v>
      </c>
      <c r="C59" s="29">
        <v>23010101011224</v>
      </c>
      <c r="D59" s="31" t="s">
        <v>52</v>
      </c>
      <c r="E59" s="152">
        <v>20604500</v>
      </c>
      <c r="F59" s="152">
        <f t="shared" si="50"/>
        <v>59700000</v>
      </c>
      <c r="G59" s="152">
        <v>0</v>
      </c>
      <c r="H59" s="152"/>
      <c r="I59" s="152">
        <f t="shared" si="51"/>
        <v>20604500</v>
      </c>
      <c r="J59" s="152">
        <f>20604000+4096000+10000000</f>
        <v>34700000</v>
      </c>
      <c r="K59" s="152">
        <v>14095500</v>
      </c>
      <c r="L59" s="152">
        <f t="shared" si="52"/>
        <v>0</v>
      </c>
      <c r="M59" s="152"/>
      <c r="N59" s="152">
        <v>1000000</v>
      </c>
      <c r="O59" s="152">
        <f t="shared" si="53"/>
        <v>1000000</v>
      </c>
      <c r="P59" s="152">
        <v>14000000</v>
      </c>
      <c r="Q59" s="152">
        <v>24000000</v>
      </c>
      <c r="R59" s="222">
        <f t="shared" si="54"/>
        <v>11000000</v>
      </c>
      <c r="S59" s="222">
        <f t="shared" si="55"/>
        <v>48700000</v>
      </c>
    </row>
    <row r="60" spans="1:19" x14ac:dyDescent="0.25">
      <c r="A60" s="1" t="s">
        <v>318</v>
      </c>
      <c r="B60" s="1" t="s">
        <v>404</v>
      </c>
      <c r="C60" s="29">
        <v>23010101011225</v>
      </c>
      <c r="D60" s="30" t="s">
        <v>53</v>
      </c>
      <c r="E60" s="152">
        <v>5000000</v>
      </c>
      <c r="F60" s="152">
        <f t="shared" si="50"/>
        <v>5000000</v>
      </c>
      <c r="G60" s="152">
        <v>5000000</v>
      </c>
      <c r="H60" s="152"/>
      <c r="I60" s="152">
        <f t="shared" si="51"/>
        <v>0</v>
      </c>
      <c r="J60" s="152"/>
      <c r="K60" s="152"/>
      <c r="L60" s="152">
        <f t="shared" si="52"/>
        <v>0</v>
      </c>
      <c r="M60" s="152"/>
      <c r="N60" s="152"/>
      <c r="O60" s="152">
        <f t="shared" si="53"/>
        <v>0</v>
      </c>
      <c r="P60" s="152"/>
      <c r="Q60" s="152"/>
      <c r="R60" s="222">
        <f t="shared" si="54"/>
        <v>0</v>
      </c>
      <c r="S60" s="222">
        <f t="shared" si="55"/>
        <v>5000000</v>
      </c>
    </row>
    <row r="61" spans="1:19" x14ac:dyDescent="0.25">
      <c r="A61" s="1" t="s">
        <v>318</v>
      </c>
      <c r="B61" s="1" t="s">
        <v>404</v>
      </c>
      <c r="C61" s="29">
        <v>23010101011226</v>
      </c>
      <c r="D61" s="30" t="s">
        <v>54</v>
      </c>
      <c r="E61" s="152">
        <v>10000000</v>
      </c>
      <c r="F61" s="152">
        <f t="shared" si="50"/>
        <v>0</v>
      </c>
      <c r="G61" s="152"/>
      <c r="H61" s="152"/>
      <c r="I61" s="152">
        <f t="shared" si="51"/>
        <v>10000000</v>
      </c>
      <c r="J61" s="152"/>
      <c r="K61" s="152">
        <v>-10000000</v>
      </c>
      <c r="L61" s="152">
        <f t="shared" si="52"/>
        <v>0</v>
      </c>
      <c r="M61" s="152"/>
      <c r="N61" s="152"/>
      <c r="O61" s="152">
        <f t="shared" si="53"/>
        <v>0</v>
      </c>
      <c r="P61" s="152"/>
      <c r="Q61" s="152"/>
      <c r="R61" s="222">
        <f t="shared" si="54"/>
        <v>0</v>
      </c>
      <c r="S61" s="222">
        <f t="shared" si="55"/>
        <v>0</v>
      </c>
    </row>
    <row r="62" spans="1:19" x14ac:dyDescent="0.25">
      <c r="A62" s="1" t="s">
        <v>318</v>
      </c>
      <c r="B62" s="1" t="s">
        <v>404</v>
      </c>
      <c r="C62" s="29">
        <v>23010101011227</v>
      </c>
      <c r="D62" s="30" t="s">
        <v>332</v>
      </c>
      <c r="E62" s="152">
        <v>0</v>
      </c>
      <c r="F62" s="152">
        <f t="shared" si="50"/>
        <v>46000000</v>
      </c>
      <c r="G62" s="152">
        <v>46000000</v>
      </c>
      <c r="H62" s="152">
        <v>46000000</v>
      </c>
      <c r="I62" s="152">
        <f t="shared" si="51"/>
        <v>0</v>
      </c>
      <c r="J62" s="152"/>
      <c r="K62" s="152"/>
      <c r="L62" s="152">
        <f t="shared" si="52"/>
        <v>0</v>
      </c>
      <c r="M62" s="152"/>
      <c r="N62" s="152"/>
      <c r="O62" s="152">
        <f t="shared" si="53"/>
        <v>0</v>
      </c>
      <c r="P62" s="152">
        <v>-3500000</v>
      </c>
      <c r="Q62" s="152"/>
      <c r="R62" s="222">
        <f t="shared" si="54"/>
        <v>3500000</v>
      </c>
      <c r="S62" s="222">
        <f t="shared" si="55"/>
        <v>42500000</v>
      </c>
    </row>
    <row r="63" spans="1:19" x14ac:dyDescent="0.25">
      <c r="A63" s="96" t="s">
        <v>315</v>
      </c>
      <c r="B63" s="96"/>
      <c r="C63" s="26">
        <v>230101010113</v>
      </c>
      <c r="D63" s="28" t="s">
        <v>55</v>
      </c>
      <c r="E63" s="103">
        <f>+E64</f>
        <v>1000</v>
      </c>
      <c r="F63" s="27">
        <f t="shared" ref="F63:S63" si="56">+F64</f>
        <v>1000</v>
      </c>
      <c r="G63" s="27">
        <f t="shared" si="56"/>
        <v>0</v>
      </c>
      <c r="H63" s="27">
        <f t="shared" si="56"/>
        <v>0</v>
      </c>
      <c r="I63" s="27">
        <f t="shared" si="56"/>
        <v>1000</v>
      </c>
      <c r="J63" s="27">
        <f t="shared" si="56"/>
        <v>0</v>
      </c>
      <c r="K63" s="27">
        <f t="shared" si="56"/>
        <v>0</v>
      </c>
      <c r="L63" s="27">
        <f t="shared" si="56"/>
        <v>1000</v>
      </c>
      <c r="M63" s="27">
        <f t="shared" si="56"/>
        <v>0</v>
      </c>
      <c r="N63" s="27">
        <f t="shared" si="56"/>
        <v>0</v>
      </c>
      <c r="O63" s="27">
        <f t="shared" si="56"/>
        <v>1000</v>
      </c>
      <c r="P63" s="27">
        <f t="shared" si="56"/>
        <v>0</v>
      </c>
      <c r="Q63" s="27">
        <f t="shared" si="56"/>
        <v>0</v>
      </c>
      <c r="R63" s="27">
        <f t="shared" si="56"/>
        <v>1000</v>
      </c>
      <c r="S63" s="27">
        <f t="shared" si="56"/>
        <v>0</v>
      </c>
    </row>
    <row r="64" spans="1:19" x14ac:dyDescent="0.25">
      <c r="A64" s="1" t="s">
        <v>318</v>
      </c>
      <c r="B64" s="1" t="s">
        <v>404</v>
      </c>
      <c r="C64" s="29">
        <v>2301010101131</v>
      </c>
      <c r="D64" s="30" t="s">
        <v>56</v>
      </c>
      <c r="E64" s="152">
        <v>1000</v>
      </c>
      <c r="F64" s="152">
        <f>+E64+H64+K64+N64+Q64</f>
        <v>1000</v>
      </c>
      <c r="G64" s="152"/>
      <c r="H64" s="152"/>
      <c r="I64" s="152">
        <f>+E64-G64+H64</f>
        <v>1000</v>
      </c>
      <c r="J64" s="152"/>
      <c r="K64" s="152"/>
      <c r="L64" s="152">
        <f>+I64+K64-J64</f>
        <v>1000</v>
      </c>
      <c r="M64" s="152"/>
      <c r="N64" s="152"/>
      <c r="O64" s="152">
        <f>+L64+N64-M64</f>
        <v>1000</v>
      </c>
      <c r="P64" s="152"/>
      <c r="Q64" s="152"/>
      <c r="R64" s="222">
        <f>+O64+Q64-P64</f>
        <v>1000</v>
      </c>
      <c r="S64" s="222">
        <f>+F64-R64</f>
        <v>0</v>
      </c>
    </row>
    <row r="65" spans="1:19" x14ac:dyDescent="0.25">
      <c r="A65" s="96" t="s">
        <v>315</v>
      </c>
      <c r="B65" s="96"/>
      <c r="C65" s="26">
        <v>23010101012</v>
      </c>
      <c r="D65" s="28" t="s">
        <v>57</v>
      </c>
      <c r="E65" s="103">
        <f>+E66+E104+E177+E181+E183+E187+E189+E191+E204</f>
        <v>134714890491.99751</v>
      </c>
      <c r="F65" s="27">
        <f t="shared" ref="F65:R65" si="57">+F66+F104+F177+F181+F183+F187+F189+F191+F204</f>
        <v>137647534522.9975</v>
      </c>
      <c r="G65" s="27">
        <f t="shared" si="57"/>
        <v>33040848620.519997</v>
      </c>
      <c r="H65" s="27">
        <f t="shared" si="57"/>
        <v>-53000000</v>
      </c>
      <c r="I65" s="27">
        <f t="shared" si="57"/>
        <v>101621041871.47751</v>
      </c>
      <c r="J65" s="27">
        <f t="shared" si="57"/>
        <v>30909894728.655003</v>
      </c>
      <c r="K65" s="27">
        <f t="shared" si="57"/>
        <v>-28595883018.990002</v>
      </c>
      <c r="L65" s="27">
        <f t="shared" si="57"/>
        <v>42115264123.832504</v>
      </c>
      <c r="M65" s="27">
        <f t="shared" si="57"/>
        <v>27279461551.990002</v>
      </c>
      <c r="N65" s="27">
        <f t="shared" si="57"/>
        <v>24134271656</v>
      </c>
      <c r="O65" s="27">
        <f t="shared" si="57"/>
        <v>38970074227.842506</v>
      </c>
      <c r="P65" s="27">
        <f t="shared" si="57"/>
        <v>28271492315</v>
      </c>
      <c r="Q65" s="27">
        <f t="shared" si="57"/>
        <v>7447255393.9899998</v>
      </c>
      <c r="R65" s="27">
        <f t="shared" si="57"/>
        <v>18145837306.832504</v>
      </c>
      <c r="S65" s="27">
        <f t="shared" ref="S65" si="58">+S66+S104+S177+S181+S183+S187+S189+S191+S204</f>
        <v>119501697216.16499</v>
      </c>
    </row>
    <row r="66" spans="1:19" ht="22.5" x14ac:dyDescent="0.25">
      <c r="A66" s="96" t="s">
        <v>315</v>
      </c>
      <c r="B66" s="96"/>
      <c r="C66" s="26">
        <v>230101010121</v>
      </c>
      <c r="D66" s="205" t="s">
        <v>58</v>
      </c>
      <c r="E66" s="103">
        <f>+E67+E99+E102</f>
        <v>12539989494.82</v>
      </c>
      <c r="F66" s="206">
        <f t="shared" ref="F66:R66" si="59">+F67+F99+F102</f>
        <v>12133240094.82</v>
      </c>
      <c r="G66" s="27">
        <f t="shared" si="59"/>
        <v>2619298232</v>
      </c>
      <c r="H66" s="27">
        <f t="shared" si="59"/>
        <v>20000000</v>
      </c>
      <c r="I66" s="27">
        <f t="shared" si="59"/>
        <v>9940691262.8199997</v>
      </c>
      <c r="J66" s="27">
        <f t="shared" si="59"/>
        <v>3191920287</v>
      </c>
      <c r="K66" s="27">
        <f t="shared" si="59"/>
        <v>-506249400</v>
      </c>
      <c r="L66" s="27">
        <f t="shared" si="59"/>
        <v>6242521575.8199997</v>
      </c>
      <c r="M66" s="27">
        <f t="shared" si="59"/>
        <v>2697713477</v>
      </c>
      <c r="N66" s="27">
        <f t="shared" si="59"/>
        <v>590000000</v>
      </c>
      <c r="O66" s="27">
        <f t="shared" si="59"/>
        <v>4134808098.8199997</v>
      </c>
      <c r="P66" s="27">
        <f t="shared" si="59"/>
        <v>2476329745</v>
      </c>
      <c r="Q66" s="27">
        <f t="shared" si="59"/>
        <v>-510500000</v>
      </c>
      <c r="R66" s="27">
        <f t="shared" si="59"/>
        <v>1147978353.8199999</v>
      </c>
      <c r="S66" s="27">
        <f t="shared" ref="S66" si="60">+S67+S99+S102</f>
        <v>10985261741</v>
      </c>
    </row>
    <row r="67" spans="1:19" x14ac:dyDescent="0.25">
      <c r="A67" s="96" t="s">
        <v>315</v>
      </c>
      <c r="B67" s="96"/>
      <c r="C67" s="26">
        <v>2301010101211</v>
      </c>
      <c r="D67" s="28" t="s">
        <v>59</v>
      </c>
      <c r="E67" s="103">
        <f>+E68+E83</f>
        <v>12025582102.82</v>
      </c>
      <c r="F67" s="27">
        <f t="shared" ref="F67:R67" si="61">+F68+F83</f>
        <v>11579632702.82</v>
      </c>
      <c r="G67" s="27">
        <f t="shared" si="61"/>
        <v>2440433417</v>
      </c>
      <c r="H67" s="27">
        <f t="shared" si="61"/>
        <v>20000000</v>
      </c>
      <c r="I67" s="27">
        <f t="shared" si="61"/>
        <v>9605148685.8199997</v>
      </c>
      <c r="J67" s="27">
        <f t="shared" si="61"/>
        <v>3191920287</v>
      </c>
      <c r="K67" s="27">
        <f t="shared" si="61"/>
        <v>-545449400</v>
      </c>
      <c r="L67" s="27">
        <f t="shared" si="61"/>
        <v>5867778998.8199997</v>
      </c>
      <c r="M67" s="27">
        <f t="shared" si="61"/>
        <v>2523012467</v>
      </c>
      <c r="N67" s="27">
        <f t="shared" si="61"/>
        <v>590000000</v>
      </c>
      <c r="O67" s="27">
        <f t="shared" si="61"/>
        <v>3934766531.8199997</v>
      </c>
      <c r="P67" s="27">
        <f t="shared" si="61"/>
        <v>2298358657</v>
      </c>
      <c r="Q67" s="27">
        <f t="shared" si="61"/>
        <v>-510500000</v>
      </c>
      <c r="R67" s="27">
        <f t="shared" si="61"/>
        <v>1125907874.8199999</v>
      </c>
      <c r="S67" s="27">
        <f t="shared" ref="S67" si="62">+S68+S83</f>
        <v>10453724828</v>
      </c>
    </row>
    <row r="68" spans="1:19" ht="22.5" x14ac:dyDescent="0.25">
      <c r="A68" s="96" t="s">
        <v>315</v>
      </c>
      <c r="B68" s="96"/>
      <c r="C68" s="26">
        <v>23010101012111</v>
      </c>
      <c r="D68" s="28" t="s">
        <v>14</v>
      </c>
      <c r="E68" s="103">
        <f>+E69+E72+E73+E74+E75</f>
        <v>9097182500</v>
      </c>
      <c r="F68" s="27">
        <f t="shared" ref="F68:R68" si="63">+F69+F72+F73+F74+F75</f>
        <v>8862233100</v>
      </c>
      <c r="G68" s="27">
        <f t="shared" si="63"/>
        <v>1792339462</v>
      </c>
      <c r="H68" s="27">
        <f t="shared" si="63"/>
        <v>0</v>
      </c>
      <c r="I68" s="27">
        <f t="shared" si="63"/>
        <v>7304843038</v>
      </c>
      <c r="J68" s="27">
        <f t="shared" si="63"/>
        <v>2462171524</v>
      </c>
      <c r="K68" s="27">
        <f t="shared" si="63"/>
        <v>-545449400</v>
      </c>
      <c r="L68" s="27">
        <f t="shared" si="63"/>
        <v>4297222114</v>
      </c>
      <c r="M68" s="27">
        <f t="shared" si="63"/>
        <v>1884077462</v>
      </c>
      <c r="N68" s="27">
        <f t="shared" si="63"/>
        <v>590000000</v>
      </c>
      <c r="O68" s="27">
        <f t="shared" si="63"/>
        <v>3003144652</v>
      </c>
      <c r="P68" s="27">
        <f t="shared" si="63"/>
        <v>1867907080</v>
      </c>
      <c r="Q68" s="27">
        <f t="shared" si="63"/>
        <v>-279500000</v>
      </c>
      <c r="R68" s="27">
        <f t="shared" si="63"/>
        <v>855737572</v>
      </c>
      <c r="S68" s="27">
        <f t="shared" ref="S68" si="64">+S69+S72+S73+S74+S75</f>
        <v>8006495528</v>
      </c>
    </row>
    <row r="69" spans="1:19" x14ac:dyDescent="0.25">
      <c r="A69" s="96" t="s">
        <v>315</v>
      </c>
      <c r="B69" s="96"/>
      <c r="C69" s="26">
        <v>230101010121111</v>
      </c>
      <c r="D69" s="28" t="s">
        <v>15</v>
      </c>
      <c r="E69" s="103">
        <f>SUM(E70:E71)</f>
        <v>5778307500</v>
      </c>
      <c r="F69" s="27">
        <f t="shared" ref="F69:R69" si="65">SUM(F70:F71)</f>
        <v>5657858100</v>
      </c>
      <c r="G69" s="27">
        <f t="shared" si="65"/>
        <v>1283524571</v>
      </c>
      <c r="H69" s="27">
        <f t="shared" si="65"/>
        <v>0</v>
      </c>
      <c r="I69" s="27">
        <f t="shared" si="65"/>
        <v>4494782929</v>
      </c>
      <c r="J69" s="27">
        <f t="shared" si="65"/>
        <v>1557625128</v>
      </c>
      <c r="K69" s="27">
        <f t="shared" si="65"/>
        <v>4550600</v>
      </c>
      <c r="L69" s="27">
        <f t="shared" si="65"/>
        <v>2941708401</v>
      </c>
      <c r="M69" s="27">
        <f t="shared" si="65"/>
        <v>1339141226</v>
      </c>
      <c r="N69" s="27">
        <f t="shared" si="65"/>
        <v>0</v>
      </c>
      <c r="O69" s="27">
        <f t="shared" si="65"/>
        <v>1602567175</v>
      </c>
      <c r="P69" s="27">
        <f t="shared" si="65"/>
        <v>968701564</v>
      </c>
      <c r="Q69" s="27">
        <f t="shared" si="65"/>
        <v>-125000000</v>
      </c>
      <c r="R69" s="27">
        <f t="shared" si="65"/>
        <v>508865611</v>
      </c>
      <c r="S69" s="27">
        <f t="shared" ref="S69" si="66">SUM(S70:S71)</f>
        <v>5148992489</v>
      </c>
    </row>
    <row r="70" spans="1:19" x14ac:dyDescent="0.25">
      <c r="A70" s="1" t="s">
        <v>318</v>
      </c>
      <c r="B70" s="1" t="s">
        <v>403</v>
      </c>
      <c r="C70" s="32" t="s">
        <v>60</v>
      </c>
      <c r="D70" s="201" t="s">
        <v>16</v>
      </c>
      <c r="E70" s="152">
        <f>5459500000*105%</f>
        <v>5732475000</v>
      </c>
      <c r="F70" s="152">
        <f>+E70+H70+K70+N70+Q70</f>
        <v>5622025600</v>
      </c>
      <c r="G70" s="152">
        <f>377924606+439099558+42118+457604698</f>
        <v>1274670980</v>
      </c>
      <c r="H70" s="152"/>
      <c r="I70" s="152">
        <f>+E70-G70+H70</f>
        <v>4457804020</v>
      </c>
      <c r="J70" s="152">
        <f>636439+421805537+537943116+587652582</f>
        <v>1548037674</v>
      </c>
      <c r="K70" s="152">
        <f>-39200000+43750600</f>
        <v>4550600</v>
      </c>
      <c r="L70" s="152">
        <f>+I70+K70-J70</f>
        <v>2914316946</v>
      </c>
      <c r="M70" s="152">
        <f>405527185+453564823+472244698</f>
        <v>1331336706</v>
      </c>
      <c r="N70" s="152"/>
      <c r="O70" s="152">
        <f>+L70+N70-M70</f>
        <v>1582980240</v>
      </c>
      <c r="P70" s="152">
        <f>470530050+493035058</f>
        <v>963565108</v>
      </c>
      <c r="Q70" s="152">
        <f>-180000000+65000000</f>
        <v>-115000000</v>
      </c>
      <c r="R70" s="223">
        <f>+O70+Q70-P70</f>
        <v>504415132</v>
      </c>
      <c r="S70" s="223">
        <f t="shared" ref="S70:S74" si="67">+F70-R70</f>
        <v>5117610468</v>
      </c>
    </row>
    <row r="71" spans="1:19" x14ac:dyDescent="0.25">
      <c r="A71" s="1" t="s">
        <v>318</v>
      </c>
      <c r="B71" s="1" t="s">
        <v>403</v>
      </c>
      <c r="C71" s="32" t="s">
        <v>61</v>
      </c>
      <c r="D71" s="30" t="s">
        <v>17</v>
      </c>
      <c r="E71" s="152">
        <f>43650000*105%</f>
        <v>45832500</v>
      </c>
      <c r="F71" s="152">
        <f>+E71+H71+K71+N71+Q71</f>
        <v>35832500</v>
      </c>
      <c r="G71" s="152">
        <f>2834348+3083217+2936026</f>
        <v>8853591</v>
      </c>
      <c r="H71" s="152"/>
      <c r="I71" s="152">
        <f>+E71-G71+H71</f>
        <v>36978909</v>
      </c>
      <c r="J71" s="152">
        <f>2944013+3706450+2936991</f>
        <v>9587454</v>
      </c>
      <c r="K71" s="152"/>
      <c r="L71" s="152">
        <f>+I71+K71-J71</f>
        <v>27391455</v>
      </c>
      <c r="M71" s="152">
        <f>2376985+2589542+2837993</f>
        <v>7804520</v>
      </c>
      <c r="N71" s="152"/>
      <c r="O71" s="152">
        <f>+L71+N71-M71</f>
        <v>19586935</v>
      </c>
      <c r="P71" s="152">
        <f>2724429+2412027</f>
        <v>5136456</v>
      </c>
      <c r="Q71" s="152">
        <v>-10000000</v>
      </c>
      <c r="R71" s="223">
        <f>+O71+Q71-P71</f>
        <v>4450479</v>
      </c>
      <c r="S71" s="223">
        <f t="shared" si="67"/>
        <v>31382021</v>
      </c>
    </row>
    <row r="72" spans="1:19" x14ac:dyDescent="0.25">
      <c r="A72" s="1" t="s">
        <v>318</v>
      </c>
      <c r="B72" s="1" t="s">
        <v>403</v>
      </c>
      <c r="C72" s="33" t="s">
        <v>62</v>
      </c>
      <c r="D72" s="30" t="s">
        <v>63</v>
      </c>
      <c r="E72" s="152">
        <v>384000000</v>
      </c>
      <c r="F72" s="152">
        <f>+E72+H72+K72+N72+Q72</f>
        <v>384000000</v>
      </c>
      <c r="G72" s="152">
        <f>26606179+34611431+29096794</f>
        <v>90314404</v>
      </c>
      <c r="H72" s="152"/>
      <c r="I72" s="152">
        <f>+E72-G72+H72</f>
        <v>293685596</v>
      </c>
      <c r="J72" s="152">
        <f>72000+79190566+38272470</f>
        <v>117535036</v>
      </c>
      <c r="K72" s="152"/>
      <c r="L72" s="152">
        <f>+I72+K72-J72</f>
        <v>176150560</v>
      </c>
      <c r="M72" s="152">
        <f>39959245+30067596+40290807</f>
        <v>110317648</v>
      </c>
      <c r="N72" s="152"/>
      <c r="O72" s="152">
        <f>+L72+N72-M72</f>
        <v>65832912</v>
      </c>
      <c r="P72" s="152">
        <f>632555+14923713+880087</f>
        <v>16436355</v>
      </c>
      <c r="Q72" s="152"/>
      <c r="R72" s="222">
        <f>+O72+Q72-P72</f>
        <v>49396557</v>
      </c>
      <c r="S72" s="222">
        <f t="shared" si="67"/>
        <v>334603443</v>
      </c>
    </row>
    <row r="73" spans="1:19" x14ac:dyDescent="0.25">
      <c r="A73" s="1" t="s">
        <v>318</v>
      </c>
      <c r="B73" s="1" t="s">
        <v>403</v>
      </c>
      <c r="C73" s="29">
        <v>230101010121113</v>
      </c>
      <c r="D73" s="30" t="s">
        <v>19</v>
      </c>
      <c r="E73" s="152">
        <v>19550000</v>
      </c>
      <c r="F73" s="152">
        <f>+E73+H73+K73+N73+Q73</f>
        <v>19550000</v>
      </c>
      <c r="G73" s="152">
        <f>1393993+627611+1647799</f>
        <v>3669403</v>
      </c>
      <c r="H73" s="152"/>
      <c r="I73" s="152">
        <f>+E73-G73+H73</f>
        <v>15880597</v>
      </c>
      <c r="J73" s="152">
        <f>1725896+222560</f>
        <v>1948456</v>
      </c>
      <c r="K73" s="152"/>
      <c r="L73" s="152">
        <f>+I73+K73-J73</f>
        <v>13932141</v>
      </c>
      <c r="M73" s="152">
        <f>3914904+1142635</f>
        <v>5057539</v>
      </c>
      <c r="N73" s="152"/>
      <c r="O73" s="152">
        <f>+L73+N73-M73</f>
        <v>8874602</v>
      </c>
      <c r="P73" s="152"/>
      <c r="Q73" s="152"/>
      <c r="R73" s="222">
        <f>+O73+Q73-P73</f>
        <v>8874602</v>
      </c>
      <c r="S73" s="222">
        <f t="shared" si="67"/>
        <v>10675398</v>
      </c>
    </row>
    <row r="74" spans="1:19" x14ac:dyDescent="0.25">
      <c r="A74" s="1" t="s">
        <v>318</v>
      </c>
      <c r="B74" s="1" t="s">
        <v>403</v>
      </c>
      <c r="C74" s="29">
        <v>230101010121114</v>
      </c>
      <c r="D74" s="30" t="s">
        <v>20</v>
      </c>
      <c r="E74" s="152">
        <f>964000000*105%</f>
        <v>1012200000</v>
      </c>
      <c r="F74" s="152">
        <f>+E74+H74+K74+N74+Q74</f>
        <v>904200000</v>
      </c>
      <c r="G74" s="152">
        <f>64629838+61792269+79551797</f>
        <v>205973904</v>
      </c>
      <c r="H74" s="152"/>
      <c r="I74" s="152">
        <f>+E74-G74+H74</f>
        <v>806226096</v>
      </c>
      <c r="J74" s="152">
        <f>71700959+92646496+86028823</f>
        <v>250376278</v>
      </c>
      <c r="K74" s="152"/>
      <c r="L74" s="152">
        <f>+I74+K74-J74</f>
        <v>555849818</v>
      </c>
      <c r="M74" s="152">
        <f>65235799+71804172+74299028</f>
        <v>211338999</v>
      </c>
      <c r="N74" s="152"/>
      <c r="O74" s="152">
        <f>+L74+N74-M74</f>
        <v>344510819</v>
      </c>
      <c r="P74" s="152">
        <f>76660787+74851865</f>
        <v>151512652</v>
      </c>
      <c r="Q74" s="152">
        <v>-108000000</v>
      </c>
      <c r="R74" s="227">
        <f>+O74+Q74-P74</f>
        <v>84998167</v>
      </c>
      <c r="S74" s="227">
        <f t="shared" si="67"/>
        <v>819201833</v>
      </c>
    </row>
    <row r="75" spans="1:19" x14ac:dyDescent="0.25">
      <c r="A75" s="96" t="s">
        <v>315</v>
      </c>
      <c r="B75" s="96"/>
      <c r="C75" s="26">
        <v>230101010121115</v>
      </c>
      <c r="D75" s="28" t="s">
        <v>64</v>
      </c>
      <c r="E75" s="103">
        <f>SUM(E76:E82)</f>
        <v>1903125000</v>
      </c>
      <c r="F75" s="27">
        <f t="shared" ref="F75:R75" si="68">SUM(F76:F82)</f>
        <v>1896625000</v>
      </c>
      <c r="G75" s="27">
        <f t="shared" si="68"/>
        <v>208857180</v>
      </c>
      <c r="H75" s="27">
        <f t="shared" si="68"/>
        <v>0</v>
      </c>
      <c r="I75" s="27">
        <f t="shared" si="68"/>
        <v>1694267820</v>
      </c>
      <c r="J75" s="27">
        <f t="shared" si="68"/>
        <v>534686626</v>
      </c>
      <c r="K75" s="27">
        <f t="shared" si="68"/>
        <v>-550000000</v>
      </c>
      <c r="L75" s="27">
        <f t="shared" si="68"/>
        <v>609581194</v>
      </c>
      <c r="M75" s="27">
        <f t="shared" si="68"/>
        <v>218222050</v>
      </c>
      <c r="N75" s="27">
        <f t="shared" si="68"/>
        <v>590000000</v>
      </c>
      <c r="O75" s="27">
        <f t="shared" si="68"/>
        <v>981359144</v>
      </c>
      <c r="P75" s="27">
        <f t="shared" si="68"/>
        <v>731256509</v>
      </c>
      <c r="Q75" s="27">
        <f t="shared" si="68"/>
        <v>-46500000</v>
      </c>
      <c r="R75" s="27">
        <f t="shared" si="68"/>
        <v>203602635</v>
      </c>
      <c r="S75" s="27">
        <f t="shared" ref="S75" si="69">SUM(S76:S82)</f>
        <v>1693022365</v>
      </c>
    </row>
    <row r="76" spans="1:19" x14ac:dyDescent="0.25">
      <c r="A76" s="1" t="s">
        <v>318</v>
      </c>
      <c r="B76" s="1" t="s">
        <v>403</v>
      </c>
      <c r="C76" s="32" t="s">
        <v>65</v>
      </c>
      <c r="D76" s="30" t="s">
        <v>22</v>
      </c>
      <c r="E76" s="152">
        <f>199300000*105%</f>
        <v>209265000</v>
      </c>
      <c r="F76" s="152">
        <f t="shared" ref="F76:F82" si="70">+E76+H76+K76+N76+Q76</f>
        <v>204265000</v>
      </c>
      <c r="G76" s="152">
        <f>15107875+18744605+18916090</f>
        <v>52768570</v>
      </c>
      <c r="H76" s="152"/>
      <c r="I76" s="152">
        <f t="shared" ref="I76:I82" si="71">+E76-G76+H76</f>
        <v>156496430</v>
      </c>
      <c r="J76" s="152">
        <f>47551+18177158+15222188+17549487</f>
        <v>50996384</v>
      </c>
      <c r="K76" s="152"/>
      <c r="L76" s="152">
        <f t="shared" ref="L76:L82" si="72">+I76+K76-J76</f>
        <v>105500046</v>
      </c>
      <c r="M76" s="152">
        <f>14338176+16855242+17570097</f>
        <v>48763515</v>
      </c>
      <c r="N76" s="152"/>
      <c r="O76" s="152">
        <f t="shared" ref="O76:O82" si="73">+L76+N76-M76</f>
        <v>56736531</v>
      </c>
      <c r="P76" s="152">
        <f>17192855+17186519</f>
        <v>34379374</v>
      </c>
      <c r="Q76" s="152">
        <v>-5000000</v>
      </c>
      <c r="R76" s="223">
        <f t="shared" ref="R76:S82" si="74">+O76+Q76-P76</f>
        <v>17357157</v>
      </c>
      <c r="S76" s="223">
        <f t="shared" ref="S76:S82" si="75">+F76-R76</f>
        <v>186907843</v>
      </c>
    </row>
    <row r="77" spans="1:19" x14ac:dyDescent="0.25">
      <c r="A77" s="1" t="s">
        <v>318</v>
      </c>
      <c r="B77" s="1" t="s">
        <v>403</v>
      </c>
      <c r="C77" s="32" t="s">
        <v>66</v>
      </c>
      <c r="D77" s="30" t="s">
        <v>23</v>
      </c>
      <c r="E77" s="152">
        <f>301950000*105%</f>
        <v>317047500</v>
      </c>
      <c r="F77" s="152">
        <f t="shared" si="70"/>
        <v>308047500</v>
      </c>
      <c r="G77" s="152">
        <f>23403550+27302400+27035650</f>
        <v>77741600</v>
      </c>
      <c r="H77" s="152"/>
      <c r="I77" s="152">
        <f t="shared" si="71"/>
        <v>239305900</v>
      </c>
      <c r="J77" s="152">
        <f>26443200+25886400+26284800</f>
        <v>78614400</v>
      </c>
      <c r="K77" s="152"/>
      <c r="L77" s="152">
        <f t="shared" si="72"/>
        <v>160691500</v>
      </c>
      <c r="M77" s="152">
        <f>21468000+25286400+26316000</f>
        <v>73070400</v>
      </c>
      <c r="N77" s="152"/>
      <c r="O77" s="152">
        <f t="shared" si="73"/>
        <v>87621100</v>
      </c>
      <c r="P77" s="152">
        <f>25816800+25788000</f>
        <v>51604800</v>
      </c>
      <c r="Q77" s="152">
        <v>-9000000</v>
      </c>
      <c r="R77" s="223">
        <f t="shared" si="74"/>
        <v>27016300</v>
      </c>
      <c r="S77" s="223">
        <f t="shared" si="75"/>
        <v>281031200</v>
      </c>
    </row>
    <row r="78" spans="1:19" x14ac:dyDescent="0.25">
      <c r="A78" s="1" t="s">
        <v>318</v>
      </c>
      <c r="B78" s="1" t="s">
        <v>403</v>
      </c>
      <c r="C78" s="32" t="s">
        <v>67</v>
      </c>
      <c r="D78" s="30" t="s">
        <v>24</v>
      </c>
      <c r="E78" s="152">
        <f>191000000*105%</f>
        <v>200550000</v>
      </c>
      <c r="F78" s="152">
        <f t="shared" si="70"/>
        <v>202050000</v>
      </c>
      <c r="G78" s="152">
        <f>13708219+15055233+25082599</f>
        <v>53846051</v>
      </c>
      <c r="H78" s="152"/>
      <c r="I78" s="152">
        <f t="shared" si="71"/>
        <v>146703949</v>
      </c>
      <c r="J78" s="152">
        <f>19512966+20742302+14226984</f>
        <v>54482252</v>
      </c>
      <c r="K78" s="152">
        <v>20000000</v>
      </c>
      <c r="L78" s="152">
        <f t="shared" si="72"/>
        <v>112221697</v>
      </c>
      <c r="M78" s="152">
        <f>10994858+19306794+14326791</f>
        <v>44628443</v>
      </c>
      <c r="N78" s="152"/>
      <c r="O78" s="152">
        <f t="shared" si="73"/>
        <v>67593254</v>
      </c>
      <c r="P78" s="152">
        <f>14685518+16992924</f>
        <v>31678442</v>
      </c>
      <c r="Q78" s="152">
        <f>-20000000+1500000</f>
        <v>-18500000</v>
      </c>
      <c r="R78" s="227">
        <f t="shared" si="74"/>
        <v>17414812</v>
      </c>
      <c r="S78" s="227">
        <f t="shared" si="75"/>
        <v>184635188</v>
      </c>
    </row>
    <row r="79" spans="1:19" x14ac:dyDescent="0.25">
      <c r="A79" s="1" t="s">
        <v>318</v>
      </c>
      <c r="B79" s="1" t="s">
        <v>405</v>
      </c>
      <c r="C79" s="32" t="s">
        <v>68</v>
      </c>
      <c r="D79" s="30" t="s">
        <v>303</v>
      </c>
      <c r="E79" s="152">
        <f>239750000*105%</f>
        <v>251737500</v>
      </c>
      <c r="F79" s="152">
        <f t="shared" si="70"/>
        <v>257737500</v>
      </c>
      <c r="G79" s="152">
        <f>523802+1291013+348334</f>
        <v>2163149</v>
      </c>
      <c r="H79" s="152"/>
      <c r="I79" s="152">
        <f t="shared" si="71"/>
        <v>249574351</v>
      </c>
      <c r="J79" s="152">
        <f>1329202+250853956</f>
        <v>252183158</v>
      </c>
      <c r="K79" s="152">
        <v>20000000</v>
      </c>
      <c r="L79" s="181">
        <f t="shared" si="72"/>
        <v>17391193</v>
      </c>
      <c r="M79" s="152">
        <f>824431+108903</f>
        <v>933334</v>
      </c>
      <c r="N79" s="152"/>
      <c r="O79" s="152">
        <f t="shared" si="73"/>
        <v>16457859</v>
      </c>
      <c r="P79" s="152"/>
      <c r="Q79" s="152">
        <v>-14000000</v>
      </c>
      <c r="R79" s="223">
        <f t="shared" si="74"/>
        <v>2457859</v>
      </c>
      <c r="S79" s="223">
        <f t="shared" si="75"/>
        <v>255279641</v>
      </c>
    </row>
    <row r="80" spans="1:19" x14ac:dyDescent="0.25">
      <c r="A80" s="1" t="s">
        <v>318</v>
      </c>
      <c r="B80" s="1" t="s">
        <v>403</v>
      </c>
      <c r="C80" s="32" t="s">
        <v>69</v>
      </c>
      <c r="D80" s="30" t="s">
        <v>25</v>
      </c>
      <c r="E80" s="152">
        <f>283950000*105%</f>
        <v>298147500</v>
      </c>
      <c r="F80" s="152">
        <f t="shared" si="70"/>
        <v>298147500</v>
      </c>
      <c r="G80" s="152">
        <f>6843291+4475120+418407+7732699</f>
        <v>19469517</v>
      </c>
      <c r="H80" s="152"/>
      <c r="I80" s="152">
        <f t="shared" si="71"/>
        <v>278677983</v>
      </c>
      <c r="J80" s="152">
        <f>11458773+5939215+69007076</f>
        <v>86405064</v>
      </c>
      <c r="K80" s="152"/>
      <c r="L80" s="152">
        <f t="shared" si="72"/>
        <v>192272919</v>
      </c>
      <c r="M80" s="152">
        <f>24823993+12230806+6818634</f>
        <v>43873433</v>
      </c>
      <c r="N80" s="152"/>
      <c r="O80" s="152">
        <f t="shared" si="73"/>
        <v>148399486</v>
      </c>
      <c r="P80" s="152">
        <f>20460333+37529428</f>
        <v>57989761</v>
      </c>
      <c r="Q80" s="152"/>
      <c r="R80" s="222">
        <f t="shared" si="74"/>
        <v>90409725</v>
      </c>
      <c r="S80" s="222">
        <f t="shared" si="75"/>
        <v>207737775</v>
      </c>
    </row>
    <row r="81" spans="1:19" x14ac:dyDescent="0.25">
      <c r="A81" s="1" t="s">
        <v>318</v>
      </c>
      <c r="B81" s="1" t="s">
        <v>405</v>
      </c>
      <c r="C81" s="32" t="s">
        <v>70</v>
      </c>
      <c r="D81" s="30" t="s">
        <v>26</v>
      </c>
      <c r="E81" s="152">
        <f>571350000*105%</f>
        <v>599917500</v>
      </c>
      <c r="F81" s="152">
        <f t="shared" si="70"/>
        <v>599917500</v>
      </c>
      <c r="G81" s="152">
        <f>367164+418408+231386</f>
        <v>1016958</v>
      </c>
      <c r="H81" s="152"/>
      <c r="I81" s="152">
        <f t="shared" si="71"/>
        <v>598900542</v>
      </c>
      <c r="J81" s="152">
        <f>1100284+68199+1952405</f>
        <v>3120888</v>
      </c>
      <c r="K81" s="152">
        <v>-590000000</v>
      </c>
      <c r="L81" s="152">
        <f t="shared" si="72"/>
        <v>5779654</v>
      </c>
      <c r="M81" s="152">
        <f>1433346+924446</f>
        <v>2357792</v>
      </c>
      <c r="N81" s="152">
        <v>590000000</v>
      </c>
      <c r="O81" s="152">
        <f t="shared" si="73"/>
        <v>593421862</v>
      </c>
      <c r="P81" s="152">
        <f>3194102+1963840+544123334+468207</f>
        <v>549749483</v>
      </c>
      <c r="Q81" s="152"/>
      <c r="R81" s="222">
        <f t="shared" si="74"/>
        <v>43672379</v>
      </c>
      <c r="S81" s="222">
        <f t="shared" si="75"/>
        <v>556245121</v>
      </c>
    </row>
    <row r="82" spans="1:19" x14ac:dyDescent="0.25">
      <c r="A82" s="1" t="s">
        <v>318</v>
      </c>
      <c r="B82" s="1" t="s">
        <v>403</v>
      </c>
      <c r="C82" s="32" t="s">
        <v>71</v>
      </c>
      <c r="D82" s="30" t="s">
        <v>27</v>
      </c>
      <c r="E82" s="152">
        <f>25200000*105%</f>
        <v>26460000</v>
      </c>
      <c r="F82" s="152">
        <f t="shared" si="70"/>
        <v>26460000</v>
      </c>
      <c r="G82" s="152">
        <f>566410+286954+46856+951115</f>
        <v>1851335</v>
      </c>
      <c r="H82" s="152"/>
      <c r="I82" s="152">
        <f t="shared" si="71"/>
        <v>24608665</v>
      </c>
      <c r="J82" s="152">
        <f>1007297+652461+7224722</f>
        <v>8884480</v>
      </c>
      <c r="K82" s="152"/>
      <c r="L82" s="152">
        <f t="shared" si="72"/>
        <v>15724185</v>
      </c>
      <c r="M82" s="152">
        <f>2483626+1401674+709833</f>
        <v>4595133</v>
      </c>
      <c r="N82" s="152"/>
      <c r="O82" s="152">
        <f t="shared" si="73"/>
        <v>11129052</v>
      </c>
      <c r="P82" s="152">
        <f>1902964+3951685</f>
        <v>5854649</v>
      </c>
      <c r="Q82" s="152"/>
      <c r="R82" s="222">
        <f t="shared" si="74"/>
        <v>5274403</v>
      </c>
      <c r="S82" s="222">
        <f t="shared" si="75"/>
        <v>21185597</v>
      </c>
    </row>
    <row r="83" spans="1:19" ht="22.5" x14ac:dyDescent="0.25">
      <c r="A83" s="96" t="s">
        <v>315</v>
      </c>
      <c r="B83" s="96"/>
      <c r="C83" s="34" t="s">
        <v>72</v>
      </c>
      <c r="D83" s="28" t="s">
        <v>29</v>
      </c>
      <c r="E83" s="103">
        <f>+E84+E90</f>
        <v>2928399602.8199997</v>
      </c>
      <c r="F83" s="27">
        <f t="shared" ref="F83:R83" si="76">+F84+F90</f>
        <v>2717399602.8199997</v>
      </c>
      <c r="G83" s="27">
        <f t="shared" si="76"/>
        <v>648093955</v>
      </c>
      <c r="H83" s="27">
        <f t="shared" si="76"/>
        <v>20000000</v>
      </c>
      <c r="I83" s="27">
        <f t="shared" si="76"/>
        <v>2300305647.8199997</v>
      </c>
      <c r="J83" s="27">
        <f t="shared" si="76"/>
        <v>729748763</v>
      </c>
      <c r="K83" s="27">
        <f t="shared" si="76"/>
        <v>0</v>
      </c>
      <c r="L83" s="27">
        <f t="shared" si="76"/>
        <v>1570556884.8199999</v>
      </c>
      <c r="M83" s="27">
        <f t="shared" si="76"/>
        <v>638935005</v>
      </c>
      <c r="N83" s="27">
        <f t="shared" si="76"/>
        <v>0</v>
      </c>
      <c r="O83" s="27">
        <f t="shared" si="76"/>
        <v>931621879.81999993</v>
      </c>
      <c r="P83" s="27">
        <f t="shared" si="76"/>
        <v>430451577</v>
      </c>
      <c r="Q83" s="27">
        <f t="shared" si="76"/>
        <v>-231000000</v>
      </c>
      <c r="R83" s="27">
        <f t="shared" si="76"/>
        <v>270170302.81999999</v>
      </c>
      <c r="S83" s="27">
        <f t="shared" ref="S83" si="77">+S84+S90</f>
        <v>2447229300</v>
      </c>
    </row>
    <row r="84" spans="1:19" ht="22.5" x14ac:dyDescent="0.25">
      <c r="A84" s="96" t="s">
        <v>315</v>
      </c>
      <c r="B84" s="96"/>
      <c r="C84" s="34" t="s">
        <v>73</v>
      </c>
      <c r="D84" s="28" t="s">
        <v>30</v>
      </c>
      <c r="E84" s="103">
        <f>SUM(E85:E89)</f>
        <v>1097882102.8199999</v>
      </c>
      <c r="F84" s="27">
        <f t="shared" ref="F84:R84" si="78">SUM(F85:F89)</f>
        <v>1045882102.8199999</v>
      </c>
      <c r="G84" s="27">
        <f t="shared" si="78"/>
        <v>275150317</v>
      </c>
      <c r="H84" s="27">
        <f t="shared" si="78"/>
        <v>20000000</v>
      </c>
      <c r="I84" s="27">
        <f t="shared" si="78"/>
        <v>842731785.81999993</v>
      </c>
      <c r="J84" s="27">
        <f t="shared" si="78"/>
        <v>269915503</v>
      </c>
      <c r="K84" s="27">
        <f t="shared" si="78"/>
        <v>0</v>
      </c>
      <c r="L84" s="27">
        <f t="shared" si="78"/>
        <v>572816282.81999993</v>
      </c>
      <c r="M84" s="27">
        <f t="shared" si="78"/>
        <v>241087376</v>
      </c>
      <c r="N84" s="27">
        <f t="shared" si="78"/>
        <v>0</v>
      </c>
      <c r="O84" s="27">
        <f t="shared" si="78"/>
        <v>331728906.81999999</v>
      </c>
      <c r="P84" s="27">
        <f t="shared" si="78"/>
        <v>162567925</v>
      </c>
      <c r="Q84" s="27">
        <f t="shared" si="78"/>
        <v>-72000000</v>
      </c>
      <c r="R84" s="27">
        <f t="shared" si="78"/>
        <v>97160981.819999993</v>
      </c>
      <c r="S84" s="27">
        <f t="shared" ref="S84" si="79">SUM(S85:S89)</f>
        <v>948721121</v>
      </c>
    </row>
    <row r="85" spans="1:19" x14ac:dyDescent="0.25">
      <c r="A85" s="1" t="s">
        <v>318</v>
      </c>
      <c r="B85" s="1" t="s">
        <v>403</v>
      </c>
      <c r="C85" s="33" t="s">
        <v>74</v>
      </c>
      <c r="D85" s="30" t="s">
        <v>31</v>
      </c>
      <c r="E85" s="152">
        <f>332500000*105%</f>
        <v>349125000</v>
      </c>
      <c r="F85" s="152">
        <f>+E85+H85+K85+N85+Q85</f>
        <v>332125000</v>
      </c>
      <c r="G85" s="152">
        <f>23771300+24447800+25440400</f>
        <v>73659500</v>
      </c>
      <c r="H85" s="152"/>
      <c r="I85" s="152">
        <f>+E85-G85+H85</f>
        <v>275465500</v>
      </c>
      <c r="J85" s="152">
        <f>25400+23111000+31487500+40377200</f>
        <v>95001100</v>
      </c>
      <c r="K85" s="152"/>
      <c r="L85" s="152">
        <f>+I85+K85-J85</f>
        <v>180464400</v>
      </c>
      <c r="M85" s="152">
        <f>26685500+26177600+26281100</f>
        <v>79144200</v>
      </c>
      <c r="N85" s="152"/>
      <c r="O85" s="152">
        <f>+L85+N85-M85</f>
        <v>101320200</v>
      </c>
      <c r="P85" s="152">
        <f>26419300+27306400</f>
        <v>53725700</v>
      </c>
      <c r="Q85" s="152">
        <f>-21000000+4000000</f>
        <v>-17000000</v>
      </c>
      <c r="R85" s="227">
        <f>+O85+Q85-P85</f>
        <v>30594500</v>
      </c>
      <c r="S85" s="227">
        <f t="shared" ref="S85:S89" si="80">+F85-R85</f>
        <v>301530500</v>
      </c>
    </row>
    <row r="86" spans="1:19" x14ac:dyDescent="0.25">
      <c r="A86" s="1" t="s">
        <v>318</v>
      </c>
      <c r="B86" s="1" t="s">
        <v>403</v>
      </c>
      <c r="C86" s="33" t="s">
        <v>75</v>
      </c>
      <c r="D86" s="30" t="s">
        <v>32</v>
      </c>
      <c r="E86" s="152">
        <f>39001050*105%+0.32</f>
        <v>40951102.82</v>
      </c>
      <c r="F86" s="152">
        <f>+E86+H86+K86+N86+Q86</f>
        <v>60951102.82</v>
      </c>
      <c r="G86" s="152">
        <f>5307956+47166961</f>
        <v>52474917</v>
      </c>
      <c r="H86" s="152">
        <v>20000000</v>
      </c>
      <c r="I86" s="152">
        <f>+E86-G86+H86</f>
        <v>8476185.8200000003</v>
      </c>
      <c r="J86" s="152">
        <f>661116+20387</f>
        <v>681503</v>
      </c>
      <c r="K86" s="152"/>
      <c r="L86" s="152">
        <f>+I86+K86-J86</f>
        <v>7794682.8200000003</v>
      </c>
      <c r="M86" s="152">
        <v>26676</v>
      </c>
      <c r="N86" s="152"/>
      <c r="O86" s="152">
        <f>+L86+N86-M86</f>
        <v>7768006.8200000003</v>
      </c>
      <c r="P86" s="152">
        <f>371600+10025</f>
        <v>381625</v>
      </c>
      <c r="Q86" s="152"/>
      <c r="R86" s="222">
        <f>+O86+Q86-P86</f>
        <v>7386381.8200000003</v>
      </c>
      <c r="S86" s="222">
        <f t="shared" si="80"/>
        <v>53564721</v>
      </c>
    </row>
    <row r="87" spans="1:19" x14ac:dyDescent="0.25">
      <c r="A87" s="1" t="s">
        <v>318</v>
      </c>
      <c r="B87" s="1" t="s">
        <v>403</v>
      </c>
      <c r="C87" s="33" t="s">
        <v>76</v>
      </c>
      <c r="D87" s="30" t="s">
        <v>33</v>
      </c>
      <c r="E87" s="152">
        <f>489050000*105%</f>
        <v>513502500</v>
      </c>
      <c r="F87" s="152">
        <f>+E87+H87+K87+N87+Q87</f>
        <v>458502500</v>
      </c>
      <c r="G87" s="152">
        <f>33681200+35873200+36891700</f>
        <v>106446100</v>
      </c>
      <c r="H87" s="152"/>
      <c r="I87" s="152">
        <f>+E87-G87+H87</f>
        <v>407056400</v>
      </c>
      <c r="J87" s="152">
        <f>143800+32409500+39249900+50864600</f>
        <v>122667800</v>
      </c>
      <c r="K87" s="152"/>
      <c r="L87" s="152">
        <f>+I87+K87-J87</f>
        <v>284388600</v>
      </c>
      <c r="M87" s="152">
        <f>37207500+37669800+38213800</f>
        <v>113091100</v>
      </c>
      <c r="N87" s="152"/>
      <c r="O87" s="152">
        <f>+L87+N87-M87</f>
        <v>171297500</v>
      </c>
      <c r="P87" s="152">
        <f>37708500+37712100</f>
        <v>75420600</v>
      </c>
      <c r="Q87" s="152">
        <v>-55000000</v>
      </c>
      <c r="R87" s="223">
        <f>+O87+Q87-P87</f>
        <v>40876900</v>
      </c>
      <c r="S87" s="223">
        <f t="shared" si="80"/>
        <v>417625600</v>
      </c>
    </row>
    <row r="88" spans="1:19" x14ac:dyDescent="0.25">
      <c r="A88" s="1" t="s">
        <v>318</v>
      </c>
      <c r="B88" s="1" t="s">
        <v>403</v>
      </c>
      <c r="C88" s="33" t="s">
        <v>77</v>
      </c>
      <c r="D88" s="30" t="s">
        <v>34</v>
      </c>
      <c r="E88" s="152">
        <f>185050000*105%</f>
        <v>194302500</v>
      </c>
      <c r="F88" s="152">
        <f>+E88+H88+K88+N88+Q88</f>
        <v>194302500</v>
      </c>
      <c r="G88" s="152">
        <f>13218400+14655000+14696400</f>
        <v>42569800</v>
      </c>
      <c r="H88" s="152"/>
      <c r="I88" s="152">
        <f>+E88-G88+H88</f>
        <v>151732700</v>
      </c>
      <c r="J88" s="152">
        <f>142300+13056800+16298200+22067800</f>
        <v>51565100</v>
      </c>
      <c r="K88" s="152"/>
      <c r="L88" s="152">
        <f>+I88+K88-J88</f>
        <v>100167600</v>
      </c>
      <c r="M88" s="152">
        <f>16146200+16138800+16540400</f>
        <v>48825400</v>
      </c>
      <c r="N88" s="152"/>
      <c r="O88" s="152">
        <f>+L88+N88-M88</f>
        <v>51342200</v>
      </c>
      <c r="P88" s="152">
        <f>16451200+16588800</f>
        <v>33040000</v>
      </c>
      <c r="Q88" s="152"/>
      <c r="R88" s="222">
        <f>+O88+Q88-P88</f>
        <v>18302200</v>
      </c>
      <c r="S88" s="222">
        <f t="shared" si="80"/>
        <v>176000300</v>
      </c>
    </row>
    <row r="89" spans="1:19" ht="22.5" x14ac:dyDescent="0.25">
      <c r="A89" s="1" t="s">
        <v>318</v>
      </c>
      <c r="B89" s="1" t="s">
        <v>403</v>
      </c>
      <c r="C89" s="33" t="s">
        <v>78</v>
      </c>
      <c r="D89" s="30" t="s">
        <v>35</v>
      </c>
      <c r="E89" s="152">
        <v>1000</v>
      </c>
      <c r="F89" s="152">
        <f>+E89+H89+K89+N89+Q89</f>
        <v>1000</v>
      </c>
      <c r="G89" s="152"/>
      <c r="H89" s="152"/>
      <c r="I89" s="152">
        <f>+E89-G89+H89</f>
        <v>1000</v>
      </c>
      <c r="J89" s="152"/>
      <c r="K89" s="152"/>
      <c r="L89" s="152">
        <f>+I89+K89-J89</f>
        <v>1000</v>
      </c>
      <c r="M89" s="152"/>
      <c r="N89" s="152"/>
      <c r="O89" s="152">
        <f>+L89+N89-M89</f>
        <v>1000</v>
      </c>
      <c r="P89" s="152"/>
      <c r="Q89" s="152"/>
      <c r="R89" s="222">
        <f>+O89+Q89-P89</f>
        <v>1000</v>
      </c>
      <c r="S89" s="222">
        <f t="shared" si="80"/>
        <v>0</v>
      </c>
    </row>
    <row r="90" spans="1:19" ht="22.5" x14ac:dyDescent="0.25">
      <c r="A90" s="96" t="s">
        <v>315</v>
      </c>
      <c r="B90" s="96"/>
      <c r="C90" s="34" t="s">
        <v>79</v>
      </c>
      <c r="D90" s="28" t="s">
        <v>36</v>
      </c>
      <c r="E90" s="103">
        <f>SUM(E91:E98)</f>
        <v>1830517500</v>
      </c>
      <c r="F90" s="27">
        <f t="shared" ref="F90:R90" si="81">SUM(F91:F98)</f>
        <v>1671517500</v>
      </c>
      <c r="G90" s="27">
        <f t="shared" si="81"/>
        <v>372943638</v>
      </c>
      <c r="H90" s="27">
        <f t="shared" si="81"/>
        <v>0</v>
      </c>
      <c r="I90" s="27">
        <f t="shared" si="81"/>
        <v>1457573862</v>
      </c>
      <c r="J90" s="27">
        <f t="shared" si="81"/>
        <v>459833260</v>
      </c>
      <c r="K90" s="27">
        <f t="shared" si="81"/>
        <v>0</v>
      </c>
      <c r="L90" s="27">
        <f t="shared" si="81"/>
        <v>997740602</v>
      </c>
      <c r="M90" s="27">
        <f t="shared" si="81"/>
        <v>397847629</v>
      </c>
      <c r="N90" s="27">
        <f t="shared" si="81"/>
        <v>0</v>
      </c>
      <c r="O90" s="27">
        <f t="shared" si="81"/>
        <v>599892973</v>
      </c>
      <c r="P90" s="27">
        <f t="shared" si="81"/>
        <v>267883652</v>
      </c>
      <c r="Q90" s="27">
        <f t="shared" si="81"/>
        <v>-159000000</v>
      </c>
      <c r="R90" s="27">
        <f t="shared" si="81"/>
        <v>173009321</v>
      </c>
      <c r="S90" s="27">
        <f t="shared" ref="S90" si="82">SUM(S91:S98)</f>
        <v>1498508179</v>
      </c>
    </row>
    <row r="91" spans="1:19" ht="22.5" x14ac:dyDescent="0.25">
      <c r="A91" s="1" t="s">
        <v>318</v>
      </c>
      <c r="B91" s="1" t="s">
        <v>403</v>
      </c>
      <c r="C91" s="33" t="s">
        <v>80</v>
      </c>
      <c r="D91" s="30" t="s">
        <v>37</v>
      </c>
      <c r="E91" s="152">
        <f>43050000*105%</f>
        <v>45202500</v>
      </c>
      <c r="F91" s="152">
        <f t="shared" ref="F91:F98" si="83">+E91+H91+K91+N91+Q91</f>
        <v>43202500</v>
      </c>
      <c r="G91" s="152">
        <f>2972900+3057800+3182400</f>
        <v>9213100</v>
      </c>
      <c r="H91" s="152"/>
      <c r="I91" s="152">
        <f t="shared" ref="I91:I98" si="84">+E91-G91+H91</f>
        <v>35989400</v>
      </c>
      <c r="J91" s="152">
        <f>3200+2892500+3940701+5044700</f>
        <v>11881101</v>
      </c>
      <c r="K91" s="152"/>
      <c r="L91" s="152">
        <f t="shared" ref="L91:L98" si="85">+I91+K91-J91</f>
        <v>24108299</v>
      </c>
      <c r="M91" s="152">
        <f>3337200+3273200+3286600</f>
        <v>9897000</v>
      </c>
      <c r="N91" s="152"/>
      <c r="O91" s="152">
        <f t="shared" ref="O91:O98" si="86">+L91+N91-M91</f>
        <v>14211299</v>
      </c>
      <c r="P91" s="152">
        <f>3304800+3414700</f>
        <v>6719500</v>
      </c>
      <c r="Q91" s="152">
        <v>-2000000</v>
      </c>
      <c r="R91" s="227">
        <f t="shared" ref="R91:S98" si="87">+O91+Q91-P91</f>
        <v>5491799</v>
      </c>
      <c r="S91" s="227">
        <f t="shared" ref="S91:S98" si="88">+F91-R91</f>
        <v>37710701</v>
      </c>
    </row>
    <row r="92" spans="1:19" ht="22.5" x14ac:dyDescent="0.25">
      <c r="A92" s="1" t="s">
        <v>318</v>
      </c>
      <c r="B92" s="1" t="s">
        <v>403</v>
      </c>
      <c r="C92" s="33" t="s">
        <v>81</v>
      </c>
      <c r="D92" s="30" t="s">
        <v>38</v>
      </c>
      <c r="E92" s="152">
        <f>260300000*105%</f>
        <v>273315000</v>
      </c>
      <c r="F92" s="152">
        <f t="shared" si="83"/>
        <v>248315000</v>
      </c>
      <c r="G92" s="152">
        <f>17824100+18338000+19082400</f>
        <v>55244500</v>
      </c>
      <c r="H92" s="152"/>
      <c r="I92" s="152">
        <f t="shared" si="84"/>
        <v>218070500</v>
      </c>
      <c r="J92" s="152">
        <f>19100+17336900+23592200+30280100</f>
        <v>71228300</v>
      </c>
      <c r="K92" s="152"/>
      <c r="L92" s="152">
        <f t="shared" si="85"/>
        <v>146842200</v>
      </c>
      <c r="M92" s="152">
        <f>20009900+19631200+19706800</f>
        <v>59347900</v>
      </c>
      <c r="N92" s="152"/>
      <c r="O92" s="152">
        <f t="shared" si="86"/>
        <v>87494300</v>
      </c>
      <c r="P92" s="152">
        <f>19811700+20475500</f>
        <v>40287200</v>
      </c>
      <c r="Q92" s="152">
        <v>-25000000</v>
      </c>
      <c r="R92" s="227">
        <f t="shared" si="87"/>
        <v>22207100</v>
      </c>
      <c r="S92" s="227">
        <f t="shared" si="88"/>
        <v>226107900</v>
      </c>
    </row>
    <row r="93" spans="1:19" ht="22.5" x14ac:dyDescent="0.25">
      <c r="A93" s="1" t="s">
        <v>318</v>
      </c>
      <c r="B93" s="1" t="s">
        <v>403</v>
      </c>
      <c r="C93" s="33" t="s">
        <v>82</v>
      </c>
      <c r="D93" s="30" t="s">
        <v>39</v>
      </c>
      <c r="E93" s="152">
        <f>84150000*105%</f>
        <v>88357500</v>
      </c>
      <c r="F93" s="152">
        <f t="shared" si="83"/>
        <v>83357500</v>
      </c>
      <c r="G93" s="152">
        <f>5937000+6114200+6363800</f>
        <v>18415000</v>
      </c>
      <c r="H93" s="152"/>
      <c r="I93" s="152">
        <f t="shared" si="84"/>
        <v>69942500</v>
      </c>
      <c r="J93" s="152">
        <f>6400+5781500+7855300+10094200</f>
        <v>23737400</v>
      </c>
      <c r="K93" s="152"/>
      <c r="L93" s="152">
        <f t="shared" si="85"/>
        <v>46205100</v>
      </c>
      <c r="M93" s="152">
        <f>6668700+6542900+6568100</f>
        <v>19779700</v>
      </c>
      <c r="N93" s="152"/>
      <c r="O93" s="152">
        <f t="shared" si="86"/>
        <v>26425400</v>
      </c>
      <c r="P93" s="152">
        <f>6603600+6824500</f>
        <v>13428100</v>
      </c>
      <c r="Q93" s="152">
        <v>-5000000</v>
      </c>
      <c r="R93" s="227">
        <f t="shared" si="87"/>
        <v>7997300</v>
      </c>
      <c r="S93" s="227">
        <f t="shared" si="88"/>
        <v>75360200</v>
      </c>
    </row>
    <row r="94" spans="1:19" ht="22.5" x14ac:dyDescent="0.25">
      <c r="A94" s="1" t="s">
        <v>318</v>
      </c>
      <c r="B94" s="1" t="s">
        <v>403</v>
      </c>
      <c r="C94" s="33" t="s">
        <v>83</v>
      </c>
      <c r="D94" s="30" t="s">
        <v>40</v>
      </c>
      <c r="E94" s="152">
        <f>41550000*105%</f>
        <v>43627500</v>
      </c>
      <c r="F94" s="152">
        <f t="shared" si="83"/>
        <v>43627500</v>
      </c>
      <c r="G94" s="152">
        <f>2972900+3057800+3182400</f>
        <v>9213100</v>
      </c>
      <c r="H94" s="152"/>
      <c r="I94" s="152">
        <f t="shared" si="84"/>
        <v>34414400</v>
      </c>
      <c r="J94" s="152">
        <f>3200+2892500+3940699+5044700</f>
        <v>11881099</v>
      </c>
      <c r="K94" s="152"/>
      <c r="L94" s="152">
        <f t="shared" si="85"/>
        <v>22533301</v>
      </c>
      <c r="M94" s="152">
        <f>3337200+3273200+3286600</f>
        <v>9897000</v>
      </c>
      <c r="N94" s="152"/>
      <c r="O94" s="152">
        <f t="shared" si="86"/>
        <v>12636301</v>
      </c>
      <c r="P94" s="152">
        <f>3304800+3414700</f>
        <v>6719500</v>
      </c>
      <c r="Q94" s="152"/>
      <c r="R94" s="222">
        <f t="shared" si="87"/>
        <v>5916801</v>
      </c>
      <c r="S94" s="222">
        <f t="shared" si="88"/>
        <v>37710699</v>
      </c>
    </row>
    <row r="95" spans="1:19" x14ac:dyDescent="0.25">
      <c r="A95" s="1" t="s">
        <v>318</v>
      </c>
      <c r="B95" s="1" t="s">
        <v>403</v>
      </c>
      <c r="C95" s="33" t="s">
        <v>84</v>
      </c>
      <c r="D95" s="30" t="s">
        <v>32</v>
      </c>
      <c r="E95" s="152">
        <f>589600000*105%</f>
        <v>619080000</v>
      </c>
      <c r="F95" s="152">
        <f t="shared" si="83"/>
        <v>559080000</v>
      </c>
      <c r="G95" s="152">
        <f>39613702+40480818+42085740</f>
        <v>122180260</v>
      </c>
      <c r="H95" s="152"/>
      <c r="I95" s="152">
        <f t="shared" si="84"/>
        <v>496899740</v>
      </c>
      <c r="J95" s="152">
        <f>62999+38459761+43755377+78165261</f>
        <v>160443398</v>
      </c>
      <c r="K95" s="152"/>
      <c r="L95" s="152">
        <f t="shared" si="85"/>
        <v>336456342</v>
      </c>
      <c r="M95" s="152">
        <f>44210500+43779060+43979852</f>
        <v>131969412</v>
      </c>
      <c r="N95" s="152"/>
      <c r="O95" s="152">
        <f t="shared" si="86"/>
        <v>204486930</v>
      </c>
      <c r="P95" s="152">
        <f>43809046+45699845</f>
        <v>89508891</v>
      </c>
      <c r="Q95" s="152">
        <v>-60000000</v>
      </c>
      <c r="R95" s="227">
        <f t="shared" si="87"/>
        <v>54978039</v>
      </c>
      <c r="S95" s="227">
        <f t="shared" si="88"/>
        <v>504101961</v>
      </c>
    </row>
    <row r="96" spans="1:19" x14ac:dyDescent="0.25">
      <c r="A96" s="1" t="s">
        <v>318</v>
      </c>
      <c r="B96" s="1" t="s">
        <v>403</v>
      </c>
      <c r="C96" s="33" t="s">
        <v>85</v>
      </c>
      <c r="D96" s="30" t="s">
        <v>33</v>
      </c>
      <c r="E96" s="152">
        <f>84100000*105%</f>
        <v>88305000</v>
      </c>
      <c r="F96" s="152">
        <f t="shared" si="83"/>
        <v>83305000</v>
      </c>
      <c r="G96" s="152">
        <f>5903100+6253000+6012500</f>
        <v>18168600</v>
      </c>
      <c r="H96" s="152"/>
      <c r="I96" s="152">
        <f t="shared" si="84"/>
        <v>70136400</v>
      </c>
      <c r="J96" s="152">
        <f>5698300+6657000+8608100</f>
        <v>20963400</v>
      </c>
      <c r="K96" s="152"/>
      <c r="L96" s="152">
        <f t="shared" si="85"/>
        <v>49173000</v>
      </c>
      <c r="M96" s="152">
        <f>6557700+6621600+6965700</f>
        <v>20145000</v>
      </c>
      <c r="N96" s="152"/>
      <c r="O96" s="152">
        <f t="shared" si="86"/>
        <v>29028000</v>
      </c>
      <c r="P96" s="152">
        <f>6766000+6858600</f>
        <v>13624600</v>
      </c>
      <c r="Q96" s="152">
        <v>-5000000</v>
      </c>
      <c r="R96" s="227">
        <f t="shared" si="87"/>
        <v>10403400</v>
      </c>
      <c r="S96" s="227">
        <f t="shared" si="88"/>
        <v>72901600</v>
      </c>
    </row>
    <row r="97" spans="1:19" x14ac:dyDescent="0.25">
      <c r="A97" s="1" t="s">
        <v>318</v>
      </c>
      <c r="B97" s="1" t="s">
        <v>403</v>
      </c>
      <c r="C97" s="33" t="s">
        <v>86</v>
      </c>
      <c r="D97" s="30" t="s">
        <v>34</v>
      </c>
      <c r="E97" s="152">
        <f>607100000*105%</f>
        <v>637455000</v>
      </c>
      <c r="F97" s="152">
        <f t="shared" si="83"/>
        <v>577455000</v>
      </c>
      <c r="G97" s="152">
        <f>42634200+44625200+45888200</f>
        <v>133147600</v>
      </c>
      <c r="H97" s="152"/>
      <c r="I97" s="152">
        <f t="shared" si="84"/>
        <v>504307400</v>
      </c>
      <c r="J97" s="152">
        <f>49000+40746400+48516200+61763000</f>
        <v>151074600</v>
      </c>
      <c r="K97" s="152"/>
      <c r="L97" s="152">
        <f t="shared" si="85"/>
        <v>353232800</v>
      </c>
      <c r="M97" s="152">
        <f>45643000+46390000+47247800</f>
        <v>139280800</v>
      </c>
      <c r="N97" s="152"/>
      <c r="O97" s="152">
        <f t="shared" si="86"/>
        <v>213952000</v>
      </c>
      <c r="P97" s="152">
        <f>46085000+46338600</f>
        <v>92423600</v>
      </c>
      <c r="Q97" s="152">
        <v>-60000000</v>
      </c>
      <c r="R97" s="227">
        <f t="shared" si="87"/>
        <v>61528400</v>
      </c>
      <c r="S97" s="227">
        <f t="shared" si="88"/>
        <v>515926600</v>
      </c>
    </row>
    <row r="98" spans="1:19" ht="22.5" x14ac:dyDescent="0.25">
      <c r="A98" s="1" t="s">
        <v>318</v>
      </c>
      <c r="B98" s="1" t="s">
        <v>403</v>
      </c>
      <c r="C98" s="33" t="s">
        <v>87</v>
      </c>
      <c r="D98" s="30" t="s">
        <v>35</v>
      </c>
      <c r="E98" s="152">
        <f>33500000*105%</f>
        <v>35175000</v>
      </c>
      <c r="F98" s="152">
        <f t="shared" si="83"/>
        <v>33175000</v>
      </c>
      <c r="G98" s="152">
        <f>2171444+2550900+2639134</f>
        <v>7361478</v>
      </c>
      <c r="H98" s="152"/>
      <c r="I98" s="152">
        <f t="shared" si="84"/>
        <v>27813522</v>
      </c>
      <c r="J98" s="152">
        <f>3300+2279444+2770570+3570648</f>
        <v>8623962</v>
      </c>
      <c r="K98" s="152"/>
      <c r="L98" s="152">
        <f t="shared" si="85"/>
        <v>19189560</v>
      </c>
      <c r="M98" s="152">
        <f>2261517+2552785+2716515</f>
        <v>7530817</v>
      </c>
      <c r="N98" s="152"/>
      <c r="O98" s="152">
        <f t="shared" si="86"/>
        <v>11658743</v>
      </c>
      <c r="P98" s="152">
        <f>2599761+2572500</f>
        <v>5172261</v>
      </c>
      <c r="Q98" s="152">
        <v>-2000000</v>
      </c>
      <c r="R98" s="223">
        <f t="shared" si="87"/>
        <v>4486482</v>
      </c>
      <c r="S98" s="223">
        <f t="shared" si="88"/>
        <v>28688518</v>
      </c>
    </row>
    <row r="99" spans="1:19" x14ac:dyDescent="0.25">
      <c r="A99" s="96" t="s">
        <v>315</v>
      </c>
      <c r="B99" s="96"/>
      <c r="C99" s="26">
        <v>2301010101212</v>
      </c>
      <c r="D99" s="28" t="s">
        <v>41</v>
      </c>
      <c r="E99" s="103">
        <f>+E100</f>
        <v>509407392</v>
      </c>
      <c r="F99" s="27">
        <f t="shared" ref="F99:S100" si="89">+F100</f>
        <v>548607392</v>
      </c>
      <c r="G99" s="27">
        <f t="shared" si="89"/>
        <v>178864815</v>
      </c>
      <c r="H99" s="27">
        <f t="shared" si="89"/>
        <v>0</v>
      </c>
      <c r="I99" s="27">
        <f t="shared" si="89"/>
        <v>330542577</v>
      </c>
      <c r="J99" s="27">
        <f t="shared" si="89"/>
        <v>0</v>
      </c>
      <c r="K99" s="27">
        <f t="shared" si="89"/>
        <v>39200000</v>
      </c>
      <c r="L99" s="27">
        <f t="shared" si="89"/>
        <v>369742577</v>
      </c>
      <c r="M99" s="27">
        <f t="shared" si="89"/>
        <v>174701010</v>
      </c>
      <c r="N99" s="27">
        <f t="shared" si="89"/>
        <v>0</v>
      </c>
      <c r="O99" s="27">
        <f t="shared" si="89"/>
        <v>195041567</v>
      </c>
      <c r="P99" s="27">
        <f t="shared" si="89"/>
        <v>177971088</v>
      </c>
      <c r="Q99" s="27">
        <f t="shared" si="89"/>
        <v>0</v>
      </c>
      <c r="R99" s="27">
        <f t="shared" si="89"/>
        <v>17070479</v>
      </c>
      <c r="S99" s="27">
        <f t="shared" si="89"/>
        <v>531536913</v>
      </c>
    </row>
    <row r="100" spans="1:19" x14ac:dyDescent="0.25">
      <c r="A100" s="96" t="s">
        <v>315</v>
      </c>
      <c r="B100" s="96"/>
      <c r="C100" s="26">
        <v>23010101012121</v>
      </c>
      <c r="D100" s="28" t="s">
        <v>88</v>
      </c>
      <c r="E100" s="103">
        <f>+E101</f>
        <v>509407392</v>
      </c>
      <c r="F100" s="27">
        <f t="shared" si="89"/>
        <v>548607392</v>
      </c>
      <c r="G100" s="27">
        <f t="shared" si="89"/>
        <v>178864815</v>
      </c>
      <c r="H100" s="27">
        <f t="shared" si="89"/>
        <v>0</v>
      </c>
      <c r="I100" s="27">
        <f t="shared" si="89"/>
        <v>330542577</v>
      </c>
      <c r="J100" s="27">
        <f t="shared" si="89"/>
        <v>0</v>
      </c>
      <c r="K100" s="27">
        <f t="shared" si="89"/>
        <v>39200000</v>
      </c>
      <c r="L100" s="27">
        <f t="shared" si="89"/>
        <v>369742577</v>
      </c>
      <c r="M100" s="27">
        <f t="shared" si="89"/>
        <v>174701010</v>
      </c>
      <c r="N100" s="27">
        <f t="shared" si="89"/>
        <v>0</v>
      </c>
      <c r="O100" s="27">
        <f t="shared" si="89"/>
        <v>195041567</v>
      </c>
      <c r="P100" s="27">
        <f t="shared" si="89"/>
        <v>177971088</v>
      </c>
      <c r="Q100" s="27">
        <f t="shared" si="89"/>
        <v>0</v>
      </c>
      <c r="R100" s="27">
        <f t="shared" si="89"/>
        <v>17070479</v>
      </c>
      <c r="S100" s="27">
        <f t="shared" si="89"/>
        <v>531536913</v>
      </c>
    </row>
    <row r="101" spans="1:19" x14ac:dyDescent="0.25">
      <c r="A101" s="1" t="s">
        <v>318</v>
      </c>
      <c r="B101" s="1" t="s">
        <v>404</v>
      </c>
      <c r="C101" s="29">
        <v>230101010121211</v>
      </c>
      <c r="D101" s="30" t="s">
        <v>89</v>
      </c>
      <c r="E101" s="152">
        <f>489814800*104%</f>
        <v>509407392</v>
      </c>
      <c r="F101" s="152">
        <f>+E101+H101+K101+N101+Q101</f>
        <v>548607392</v>
      </c>
      <c r="G101" s="152">
        <f>177970815+894000</f>
        <v>178864815</v>
      </c>
      <c r="H101" s="152"/>
      <c r="I101" s="152">
        <f>+E101-G101+H101</f>
        <v>330542577</v>
      </c>
      <c r="J101" s="152"/>
      <c r="K101" s="152">
        <v>39200000</v>
      </c>
      <c r="L101" s="152">
        <f>+I101+K101-J101</f>
        <v>369742577</v>
      </c>
      <c r="M101" s="152">
        <v>174701010</v>
      </c>
      <c r="N101" s="152"/>
      <c r="O101" s="152">
        <f>+L101+N101-M101</f>
        <v>195041567</v>
      </c>
      <c r="P101" s="152">
        <f>177036858+934230</f>
        <v>177971088</v>
      </c>
      <c r="Q101" s="152"/>
      <c r="R101" s="222">
        <f>+O101+Q101-P101</f>
        <v>17070479</v>
      </c>
      <c r="S101" s="222">
        <f>+F101-R101</f>
        <v>531536913</v>
      </c>
    </row>
    <row r="102" spans="1:19" x14ac:dyDescent="0.25">
      <c r="A102" s="96" t="s">
        <v>315</v>
      </c>
      <c r="B102" s="96"/>
      <c r="C102" s="26">
        <v>2301010101213</v>
      </c>
      <c r="D102" s="28" t="s">
        <v>55</v>
      </c>
      <c r="E102" s="103">
        <f>+E103</f>
        <v>5000000</v>
      </c>
      <c r="F102" s="27">
        <f t="shared" ref="F102:S102" si="90">+F103</f>
        <v>5000000</v>
      </c>
      <c r="G102" s="27">
        <f t="shared" si="90"/>
        <v>0</v>
      </c>
      <c r="H102" s="27">
        <f t="shared" si="90"/>
        <v>0</v>
      </c>
      <c r="I102" s="27">
        <f t="shared" si="90"/>
        <v>5000000</v>
      </c>
      <c r="J102" s="27">
        <f t="shared" si="90"/>
        <v>0</v>
      </c>
      <c r="K102" s="27">
        <f t="shared" si="90"/>
        <v>0</v>
      </c>
      <c r="L102" s="27">
        <f t="shared" si="90"/>
        <v>5000000</v>
      </c>
      <c r="M102" s="27">
        <f t="shared" si="90"/>
        <v>0</v>
      </c>
      <c r="N102" s="27">
        <f t="shared" si="90"/>
        <v>0</v>
      </c>
      <c r="O102" s="27">
        <f t="shared" si="90"/>
        <v>5000000</v>
      </c>
      <c r="P102" s="27">
        <f t="shared" si="90"/>
        <v>0</v>
      </c>
      <c r="Q102" s="27">
        <f t="shared" si="90"/>
        <v>0</v>
      </c>
      <c r="R102" s="27">
        <f t="shared" si="90"/>
        <v>5000000</v>
      </c>
      <c r="S102" s="27">
        <f t="shared" si="90"/>
        <v>0</v>
      </c>
    </row>
    <row r="103" spans="1:19" x14ac:dyDescent="0.25">
      <c r="A103" s="1" t="s">
        <v>318</v>
      </c>
      <c r="B103" s="1" t="s">
        <v>404</v>
      </c>
      <c r="C103" s="29">
        <v>23010101012131</v>
      </c>
      <c r="D103" s="30" t="s">
        <v>56</v>
      </c>
      <c r="E103" s="152">
        <v>5000000</v>
      </c>
      <c r="F103" s="152">
        <f>+E103+H103+K103+N103+Q103</f>
        <v>5000000</v>
      </c>
      <c r="G103" s="152"/>
      <c r="H103" s="152"/>
      <c r="I103" s="152">
        <f>+E103-G103+H103</f>
        <v>5000000</v>
      </c>
      <c r="J103" s="152"/>
      <c r="K103" s="152"/>
      <c r="L103" s="152">
        <f>+I103+K103-J103</f>
        <v>5000000</v>
      </c>
      <c r="M103" s="152"/>
      <c r="N103" s="152"/>
      <c r="O103" s="152">
        <f>+L103+N103-M103</f>
        <v>5000000</v>
      </c>
      <c r="P103" s="152"/>
      <c r="Q103" s="152"/>
      <c r="R103" s="222">
        <f>+O103+Q103-P103</f>
        <v>5000000</v>
      </c>
      <c r="S103" s="222">
        <f>+F103-R103</f>
        <v>0</v>
      </c>
    </row>
    <row r="104" spans="1:19" ht="22.5" x14ac:dyDescent="0.25">
      <c r="A104" s="96" t="s">
        <v>315</v>
      </c>
      <c r="B104" s="96"/>
      <c r="C104" s="34" t="s">
        <v>90</v>
      </c>
      <c r="D104" s="28" t="s">
        <v>91</v>
      </c>
      <c r="E104" s="103">
        <f>+E105+E141</f>
        <v>109284284155.7525</v>
      </c>
      <c r="F104" s="27">
        <f t="shared" ref="F104:R104" si="91">+F105+F141</f>
        <v>112532903693.1825</v>
      </c>
      <c r="G104" s="27">
        <f t="shared" si="91"/>
        <v>24073815704</v>
      </c>
      <c r="H104" s="27">
        <f t="shared" si="91"/>
        <v>-73000000</v>
      </c>
      <c r="I104" s="27">
        <f t="shared" si="91"/>
        <v>85137468451.752502</v>
      </c>
      <c r="J104" s="27">
        <f t="shared" si="91"/>
        <v>21945724483</v>
      </c>
      <c r="K104" s="27">
        <f t="shared" si="91"/>
        <v>-28203756974.57</v>
      </c>
      <c r="L104" s="27">
        <f t="shared" si="91"/>
        <v>34987986994.182503</v>
      </c>
      <c r="M104" s="27">
        <f t="shared" si="91"/>
        <v>25017697150</v>
      </c>
      <c r="N104" s="27">
        <f t="shared" si="91"/>
        <v>23544271656</v>
      </c>
      <c r="O104" s="27">
        <f t="shared" si="91"/>
        <v>33514561500.182503</v>
      </c>
      <c r="P104" s="27">
        <f t="shared" si="91"/>
        <v>25830712370</v>
      </c>
      <c r="Q104" s="27">
        <f t="shared" si="91"/>
        <v>7981104856</v>
      </c>
      <c r="R104" s="27">
        <f t="shared" si="91"/>
        <v>15664953986.182501</v>
      </c>
      <c r="S104" s="27">
        <f t="shared" ref="S104" si="92">+S105+S141</f>
        <v>96867949707</v>
      </c>
    </row>
    <row r="105" spans="1:19" x14ac:dyDescent="0.25">
      <c r="A105" s="96" t="s">
        <v>315</v>
      </c>
      <c r="B105" s="96"/>
      <c r="C105" s="34" t="s">
        <v>92</v>
      </c>
      <c r="D105" s="205" t="s">
        <v>93</v>
      </c>
      <c r="E105" s="103">
        <f>+E106+E121+E129+E131+E133+E136+E138</f>
        <v>99664668503.252502</v>
      </c>
      <c r="F105" s="27">
        <f t="shared" ref="F105:R105" si="93">+F106+F121+F129+F131+F133+F136+F138</f>
        <v>103123688040.6825</v>
      </c>
      <c r="G105" s="27">
        <f t="shared" si="93"/>
        <v>22047580319</v>
      </c>
      <c r="H105" s="27">
        <f t="shared" si="93"/>
        <v>-73000000</v>
      </c>
      <c r="I105" s="27">
        <f t="shared" si="93"/>
        <v>77544088184.252502</v>
      </c>
      <c r="J105" s="27">
        <f t="shared" si="93"/>
        <v>19719383775</v>
      </c>
      <c r="K105" s="27">
        <f t="shared" si="93"/>
        <v>-27683756974.57</v>
      </c>
      <c r="L105" s="27">
        <f t="shared" si="93"/>
        <v>30140947434.682503</v>
      </c>
      <c r="M105" s="27">
        <f t="shared" si="93"/>
        <v>22995875031</v>
      </c>
      <c r="N105" s="27">
        <f t="shared" si="93"/>
        <v>22931771656</v>
      </c>
      <c r="O105" s="27">
        <f t="shared" si="93"/>
        <v>30076844059.682503</v>
      </c>
      <c r="P105" s="27">
        <f t="shared" si="93"/>
        <v>23688496216</v>
      </c>
      <c r="Q105" s="27">
        <f t="shared" si="93"/>
        <v>8284004856</v>
      </c>
      <c r="R105" s="27">
        <f t="shared" si="93"/>
        <v>14672352699.682501</v>
      </c>
      <c r="S105" s="27">
        <f t="shared" ref="S105" si="94">+S106+S121+S129+S131+S133+S136+S138</f>
        <v>88451335341</v>
      </c>
    </row>
    <row r="106" spans="1:19" ht="22.5" x14ac:dyDescent="0.25">
      <c r="A106" s="96" t="s">
        <v>315</v>
      </c>
      <c r="B106" s="96"/>
      <c r="C106" s="34" t="s">
        <v>94</v>
      </c>
      <c r="D106" s="28" t="s">
        <v>14</v>
      </c>
      <c r="E106" s="103">
        <f>+E107+E110+E111</f>
        <v>79671423503.252502</v>
      </c>
      <c r="F106" s="27">
        <f t="shared" ref="F106:R106" si="95">+F107+F110+F111</f>
        <v>83497493040.682495</v>
      </c>
      <c r="G106" s="27">
        <f t="shared" si="95"/>
        <v>17491837963</v>
      </c>
      <c r="H106" s="27">
        <f t="shared" si="95"/>
        <v>-73000000</v>
      </c>
      <c r="I106" s="27">
        <f t="shared" si="95"/>
        <v>62106585540.252502</v>
      </c>
      <c r="J106" s="27">
        <f t="shared" si="95"/>
        <v>14619738314</v>
      </c>
      <c r="K106" s="27">
        <f t="shared" si="95"/>
        <v>-27683756974.57</v>
      </c>
      <c r="L106" s="27">
        <f t="shared" si="95"/>
        <v>19803090251.682503</v>
      </c>
      <c r="M106" s="27">
        <f t="shared" si="95"/>
        <v>18248298504</v>
      </c>
      <c r="N106" s="27">
        <f t="shared" si="95"/>
        <v>22929271656</v>
      </c>
      <c r="O106" s="27">
        <f t="shared" si="95"/>
        <v>24484063403.682503</v>
      </c>
      <c r="P106" s="27">
        <f t="shared" si="95"/>
        <v>20542649936</v>
      </c>
      <c r="Q106" s="27">
        <f t="shared" si="95"/>
        <v>8653554856</v>
      </c>
      <c r="R106" s="27">
        <f t="shared" si="95"/>
        <v>12594968323.682501</v>
      </c>
      <c r="S106" s="27">
        <f t="shared" ref="S106" si="96">+S107+S110+S111</f>
        <v>70902524717</v>
      </c>
    </row>
    <row r="107" spans="1:19" x14ac:dyDescent="0.25">
      <c r="A107" s="96" t="s">
        <v>315</v>
      </c>
      <c r="B107" s="96"/>
      <c r="C107" s="34" t="s">
        <v>95</v>
      </c>
      <c r="D107" s="28" t="s">
        <v>15</v>
      </c>
      <c r="E107" s="103">
        <f>+E108+E109</f>
        <v>67168366500</v>
      </c>
      <c r="F107" s="27">
        <f t="shared" ref="F107:R107" si="97">+F108+F109</f>
        <v>70060985218.429993</v>
      </c>
      <c r="G107" s="27">
        <f t="shared" si="97"/>
        <v>17269484812</v>
      </c>
      <c r="H107" s="27">
        <f t="shared" si="97"/>
        <v>-73000000</v>
      </c>
      <c r="I107" s="27">
        <f t="shared" si="97"/>
        <v>49825881688</v>
      </c>
      <c r="J107" s="27">
        <f t="shared" si="97"/>
        <v>12799848899</v>
      </c>
      <c r="K107" s="27">
        <f t="shared" si="97"/>
        <v>-21383756974.57</v>
      </c>
      <c r="L107" s="27">
        <f t="shared" si="97"/>
        <v>15642275814.43</v>
      </c>
      <c r="M107" s="27">
        <f t="shared" si="97"/>
        <v>17603833791</v>
      </c>
      <c r="N107" s="27">
        <f t="shared" si="97"/>
        <v>16134370837</v>
      </c>
      <c r="O107" s="27">
        <f t="shared" si="97"/>
        <v>14172812860.43</v>
      </c>
      <c r="P107" s="27">
        <f t="shared" si="97"/>
        <v>11018597785</v>
      </c>
      <c r="Q107" s="27">
        <f t="shared" si="97"/>
        <v>8215004856</v>
      </c>
      <c r="R107" s="27">
        <f t="shared" si="97"/>
        <v>11369219931.43</v>
      </c>
      <c r="S107" s="27">
        <f t="shared" ref="S107" si="98">+S108+S109</f>
        <v>58691765286.999992</v>
      </c>
    </row>
    <row r="108" spans="1:19" x14ac:dyDescent="0.25">
      <c r="A108" s="1" t="s">
        <v>318</v>
      </c>
      <c r="B108" s="1" t="s">
        <v>403</v>
      </c>
      <c r="C108" s="33" t="s">
        <v>96</v>
      </c>
      <c r="D108" s="201" t="s">
        <v>16</v>
      </c>
      <c r="E108" s="152">
        <f>68000000000-1000-1000000000</f>
        <v>66999999000</v>
      </c>
      <c r="F108" s="152">
        <f>+E108+H108+K108+N108+Q108</f>
        <v>69898617718.429993</v>
      </c>
      <c r="G108" s="152">
        <f>5634827329+5808869512+5786642282</f>
        <v>17230339123</v>
      </c>
      <c r="H108" s="152">
        <f>-46000000-27000000</f>
        <v>-73000000</v>
      </c>
      <c r="I108" s="152">
        <f>+E108-G108+H108</f>
        <v>49696659877</v>
      </c>
      <c r="J108" s="152">
        <f>166878878+5855705806+871490550+5865326408</f>
        <v>12759401642</v>
      </c>
      <c r="K108" s="152">
        <f>-20687391701.54-404149932.03-194215341-98000000</f>
        <v>-21383756974.57</v>
      </c>
      <c r="L108" s="152">
        <f>+I108+K108-J108</f>
        <v>15553501260.43</v>
      </c>
      <c r="M108" s="152">
        <f>5911960766+5803153291+5850444371</f>
        <v>17565558428</v>
      </c>
      <c r="N108" s="152">
        <f>-540900819+16675271656</f>
        <v>16134370837</v>
      </c>
      <c r="O108" s="184">
        <f>+L108+N108-M108</f>
        <v>14122313669.43</v>
      </c>
      <c r="P108" s="152">
        <f>5184379982+5807096358</f>
        <v>10991476340</v>
      </c>
      <c r="Q108" s="154">
        <f>-24000000+885150000+3347734810.46+4012120045.54</f>
        <v>8221004856</v>
      </c>
      <c r="R108" s="221">
        <f>+O108+Q108-P108</f>
        <v>11351842185.43</v>
      </c>
      <c r="S108" s="221">
        <f t="shared" ref="S108:S110" si="99">+F108-R108</f>
        <v>58546775532.999992</v>
      </c>
    </row>
    <row r="109" spans="1:19" x14ac:dyDescent="0.25">
      <c r="A109" s="1" t="s">
        <v>318</v>
      </c>
      <c r="B109" s="1" t="s">
        <v>403</v>
      </c>
      <c r="C109" s="33" t="s">
        <v>97</v>
      </c>
      <c r="D109" s="30" t="s">
        <v>98</v>
      </c>
      <c r="E109" s="152">
        <f>160350000*105%</f>
        <v>168367500</v>
      </c>
      <c r="F109" s="152">
        <f>+E109+H109+K109+N109+Q109</f>
        <v>162367500</v>
      </c>
      <c r="G109" s="152">
        <f>13025041+13521652+12598996</f>
        <v>39145689</v>
      </c>
      <c r="H109" s="152"/>
      <c r="I109" s="152">
        <f>+E109-G109+H109</f>
        <v>129221811</v>
      </c>
      <c r="J109" s="152">
        <f>379876+13715224+13714293+12637864</f>
        <v>40447257</v>
      </c>
      <c r="K109" s="152"/>
      <c r="L109" s="152">
        <f>+I109+K109-J109</f>
        <v>88774554</v>
      </c>
      <c r="M109" s="152">
        <f>12612556+12151526+13511281</f>
        <v>38275363</v>
      </c>
      <c r="N109" s="152"/>
      <c r="O109" s="152">
        <f>+L109+N109-M109</f>
        <v>50499191</v>
      </c>
      <c r="P109" s="152">
        <f>12245649+14875796</f>
        <v>27121445</v>
      </c>
      <c r="Q109" s="152">
        <v>-6000000</v>
      </c>
      <c r="R109" s="223">
        <f>+O109+Q109-P109</f>
        <v>17377746</v>
      </c>
      <c r="S109" s="223">
        <f t="shared" si="99"/>
        <v>144989754</v>
      </c>
    </row>
    <row r="110" spans="1:19" x14ac:dyDescent="0.25">
      <c r="A110" s="1" t="s">
        <v>318</v>
      </c>
      <c r="B110" s="1" t="s">
        <v>403</v>
      </c>
      <c r="C110" s="33" t="s">
        <v>99</v>
      </c>
      <c r="D110" s="30" t="s">
        <v>100</v>
      </c>
      <c r="E110" s="152">
        <f>719100000*105%</f>
        <v>755055000</v>
      </c>
      <c r="F110" s="152">
        <f>+E110+H110+K110+N110+Q110</f>
        <v>755055000</v>
      </c>
      <c r="G110" s="152">
        <f>7734979+29234795</f>
        <v>36969774</v>
      </c>
      <c r="H110" s="152"/>
      <c r="I110" s="152">
        <f>+E110-G110+H110</f>
        <v>718085226</v>
      </c>
      <c r="J110" s="152">
        <f>241626+461092+162776092+74513561</f>
        <v>237992371</v>
      </c>
      <c r="K110" s="152"/>
      <c r="L110" s="152">
        <f>+I110+K110-J110</f>
        <v>480092855</v>
      </c>
      <c r="M110" s="152">
        <f>64877428+21749844+113602118</f>
        <v>200229390</v>
      </c>
      <c r="N110" s="152"/>
      <c r="O110" s="152">
        <f>+L110+N110-M110</f>
        <v>279863465</v>
      </c>
      <c r="P110" s="152">
        <f>96737063+74342090</f>
        <v>171079153</v>
      </c>
      <c r="Q110" s="152"/>
      <c r="R110" s="222">
        <f>+O110+Q110-P110</f>
        <v>108784312</v>
      </c>
      <c r="S110" s="222">
        <f t="shared" si="99"/>
        <v>646270688</v>
      </c>
    </row>
    <row r="111" spans="1:19" x14ac:dyDescent="0.25">
      <c r="A111" s="96" t="s">
        <v>315</v>
      </c>
      <c r="B111" s="96"/>
      <c r="C111" s="34" t="s">
        <v>101</v>
      </c>
      <c r="D111" s="28" t="s">
        <v>64</v>
      </c>
      <c r="E111" s="103">
        <f>SUM(E112:E120)</f>
        <v>11748002003.252501</v>
      </c>
      <c r="F111" s="103">
        <f t="shared" ref="F111:R111" si="100">SUM(F112:F120)</f>
        <v>12681452822.252501</v>
      </c>
      <c r="G111" s="103">
        <f t="shared" si="100"/>
        <v>185383377</v>
      </c>
      <c r="H111" s="103">
        <f t="shared" si="100"/>
        <v>0</v>
      </c>
      <c r="I111" s="103">
        <f t="shared" si="100"/>
        <v>11562618626.252501</v>
      </c>
      <c r="J111" s="103">
        <f t="shared" si="100"/>
        <v>1581897044</v>
      </c>
      <c r="K111" s="103">
        <f t="shared" si="100"/>
        <v>-6300000000</v>
      </c>
      <c r="L111" s="103">
        <f t="shared" si="100"/>
        <v>3680721582.2525005</v>
      </c>
      <c r="M111" s="103">
        <f t="shared" si="100"/>
        <v>444235323</v>
      </c>
      <c r="N111" s="103">
        <f t="shared" si="100"/>
        <v>6794900819</v>
      </c>
      <c r="O111" s="103">
        <f t="shared" si="100"/>
        <v>10031387078.252501</v>
      </c>
      <c r="P111" s="103">
        <f t="shared" si="100"/>
        <v>9352972998</v>
      </c>
      <c r="Q111" s="103">
        <f t="shared" si="100"/>
        <v>438550000</v>
      </c>
      <c r="R111" s="27">
        <f t="shared" si="100"/>
        <v>1116964080.2525005</v>
      </c>
      <c r="S111" s="27">
        <f t="shared" ref="S111" si="101">SUM(S112:S120)</f>
        <v>11564488742</v>
      </c>
    </row>
    <row r="112" spans="1:19" x14ac:dyDescent="0.25">
      <c r="A112" s="1" t="s">
        <v>318</v>
      </c>
      <c r="B112" s="1" t="s">
        <v>403</v>
      </c>
      <c r="C112" s="33" t="s">
        <v>102</v>
      </c>
      <c r="D112" s="30" t="s">
        <v>22</v>
      </c>
      <c r="E112" s="152">
        <f>226000000*105%</f>
        <v>237300000</v>
      </c>
      <c r="F112" s="152">
        <f t="shared" ref="F112:F120" si="102">+E112+H112+K112+N112+Q112</f>
        <v>255300000</v>
      </c>
      <c r="G112" s="152">
        <f>13034596+23718324+24403219</f>
        <v>61156139</v>
      </c>
      <c r="H112" s="152"/>
      <c r="I112" s="152">
        <f t="shared" ref="I112:I120" si="103">+E112-G112+H112</f>
        <v>176143861</v>
      </c>
      <c r="J112" s="152">
        <f>22438642+21600226+22657813</f>
        <v>66696681</v>
      </c>
      <c r="K112" s="152"/>
      <c r="L112" s="152">
        <f t="shared" ref="L112:L120" si="104">+I112+K112-J112</f>
        <v>109447180</v>
      </c>
      <c r="M112" s="152">
        <f>6735769+23142296+23569957</f>
        <v>53448022</v>
      </c>
      <c r="N112" s="152"/>
      <c r="O112" s="152">
        <f t="shared" ref="O112:O120" si="105">+L112+N112-M112</f>
        <v>55999158</v>
      </c>
      <c r="P112" s="152">
        <f>23847944+23333098</f>
        <v>47181042</v>
      </c>
      <c r="Q112" s="152">
        <v>18000000</v>
      </c>
      <c r="R112" s="221">
        <f t="shared" ref="R112:S120" si="106">+O112+Q112-P112</f>
        <v>26818116</v>
      </c>
      <c r="S112" s="221">
        <f t="shared" ref="S112:S120" si="107">+F112-R112</f>
        <v>228481884</v>
      </c>
    </row>
    <row r="113" spans="1:19" x14ac:dyDescent="0.25">
      <c r="A113" s="1" t="s">
        <v>318</v>
      </c>
      <c r="B113" s="1" t="s">
        <v>403</v>
      </c>
      <c r="C113" s="33" t="s">
        <v>103</v>
      </c>
      <c r="D113" s="30" t="s">
        <v>23</v>
      </c>
      <c r="E113" s="152">
        <f>26657500*105%</f>
        <v>27990375</v>
      </c>
      <c r="F113" s="152">
        <f t="shared" si="102"/>
        <v>27990375</v>
      </c>
      <c r="G113" s="152">
        <f>1598400+2632800+2580000</f>
        <v>6811200</v>
      </c>
      <c r="H113" s="152"/>
      <c r="I113" s="152">
        <f t="shared" si="103"/>
        <v>21179175</v>
      </c>
      <c r="J113" s="152">
        <f>1566870+1295700+2282400</f>
        <v>5144970</v>
      </c>
      <c r="K113" s="152"/>
      <c r="L113" s="152">
        <f t="shared" si="104"/>
        <v>16034205</v>
      </c>
      <c r="M113" s="152">
        <f>662400+2472000+2546400</f>
        <v>5680800</v>
      </c>
      <c r="N113" s="152"/>
      <c r="O113" s="152">
        <f t="shared" si="105"/>
        <v>10353405</v>
      </c>
      <c r="P113" s="152">
        <f>2541600+2551200</f>
        <v>5092800</v>
      </c>
      <c r="Q113" s="152"/>
      <c r="R113" s="222">
        <f t="shared" si="106"/>
        <v>5260605</v>
      </c>
      <c r="S113" s="222">
        <f t="shared" si="107"/>
        <v>22729770</v>
      </c>
    </row>
    <row r="114" spans="1:19" x14ac:dyDescent="0.25">
      <c r="A114" s="1" t="s">
        <v>318</v>
      </c>
      <c r="B114" s="1" t="s">
        <v>403</v>
      </c>
      <c r="C114" s="33" t="s">
        <v>104</v>
      </c>
      <c r="D114" s="30" t="s">
        <v>25</v>
      </c>
      <c r="E114" s="152">
        <f>2944900000*105%-500000000</f>
        <v>2592145000</v>
      </c>
      <c r="F114" s="152">
        <f t="shared" si="102"/>
        <v>3040145000</v>
      </c>
      <c r="G114" s="152">
        <f>462949+133395</f>
        <v>596344</v>
      </c>
      <c r="H114" s="152"/>
      <c r="I114" s="152">
        <f t="shared" si="103"/>
        <v>2591548656</v>
      </c>
      <c r="J114" s="152">
        <v>288505</v>
      </c>
      <c r="K114" s="152"/>
      <c r="L114" s="152">
        <f t="shared" si="104"/>
        <v>2591260151</v>
      </c>
      <c r="M114" s="152">
        <v>407039</v>
      </c>
      <c r="N114" s="152"/>
      <c r="O114" s="152">
        <f t="shared" si="105"/>
        <v>2590853112</v>
      </c>
      <c r="P114" s="152">
        <v>2887685385</v>
      </c>
      <c r="Q114" s="152">
        <v>448000000</v>
      </c>
      <c r="R114" s="224">
        <f t="shared" si="106"/>
        <v>151167727</v>
      </c>
      <c r="S114" s="224">
        <f t="shared" si="107"/>
        <v>2888977273</v>
      </c>
    </row>
    <row r="115" spans="1:19" x14ac:dyDescent="0.25">
      <c r="A115" s="1" t="s">
        <v>318</v>
      </c>
      <c r="B115" s="1" t="s">
        <v>405</v>
      </c>
      <c r="C115" s="33" t="s">
        <v>105</v>
      </c>
      <c r="D115" s="30" t="s">
        <v>303</v>
      </c>
      <c r="E115" s="152">
        <v>2000000000</v>
      </c>
      <c r="F115" s="152">
        <f t="shared" si="102"/>
        <v>2000000000</v>
      </c>
      <c r="G115" s="152"/>
      <c r="H115" s="152"/>
      <c r="I115" s="152">
        <f t="shared" si="103"/>
        <v>2000000000</v>
      </c>
      <c r="J115" s="152">
        <f>3046159+1340262962</f>
        <v>1343309121</v>
      </c>
      <c r="K115" s="152"/>
      <c r="L115" s="152">
        <f t="shared" si="104"/>
        <v>656690879</v>
      </c>
      <c r="M115" s="152">
        <f>5811287+1284386+13790339</f>
        <v>20886012</v>
      </c>
      <c r="N115" s="152"/>
      <c r="O115" s="152">
        <f t="shared" si="105"/>
        <v>635804867</v>
      </c>
      <c r="P115" s="152">
        <f>782224+777913</f>
        <v>1560137</v>
      </c>
      <c r="Q115" s="152"/>
      <c r="R115" s="222">
        <f t="shared" si="106"/>
        <v>634244730</v>
      </c>
      <c r="S115" s="222">
        <f t="shared" si="107"/>
        <v>1365755270</v>
      </c>
    </row>
    <row r="116" spans="1:19" x14ac:dyDescent="0.25">
      <c r="A116" s="1" t="s">
        <v>318</v>
      </c>
      <c r="B116" s="1" t="s">
        <v>405</v>
      </c>
      <c r="C116" s="33" t="s">
        <v>106</v>
      </c>
      <c r="D116" s="30" t="s">
        <v>26</v>
      </c>
      <c r="E116" s="152">
        <f>6203568024.05*105%+369407703-500000000</f>
        <v>6383154128.2525005</v>
      </c>
      <c r="F116" s="152">
        <f t="shared" si="102"/>
        <v>6459457753.2525005</v>
      </c>
      <c r="G116" s="152">
        <f>1615674+4515479+2262602</f>
        <v>8393755</v>
      </c>
      <c r="H116" s="152"/>
      <c r="I116" s="152">
        <f t="shared" si="103"/>
        <v>6374760373.2525005</v>
      </c>
      <c r="J116" s="152">
        <f>20557+7659111+7597238+8007856</f>
        <v>23284762</v>
      </c>
      <c r="K116" s="152">
        <v>-6300000000</v>
      </c>
      <c r="L116" s="152">
        <f t="shared" si="104"/>
        <v>51475611.252500534</v>
      </c>
      <c r="M116" s="152">
        <f>25495534+25294084+14110301</f>
        <v>64899919</v>
      </c>
      <c r="N116" s="152">
        <f>6300000000+50103625</f>
        <v>6350103625</v>
      </c>
      <c r="O116" s="184">
        <f t="shared" si="105"/>
        <v>6336679317.2525005</v>
      </c>
      <c r="P116" s="152">
        <f>29883965+14495610+6150285857</f>
        <v>6194665432</v>
      </c>
      <c r="Q116" s="152">
        <v>26200000</v>
      </c>
      <c r="R116" s="224">
        <f t="shared" si="106"/>
        <v>168213885.25250053</v>
      </c>
      <c r="S116" s="224">
        <f t="shared" si="107"/>
        <v>6291243868</v>
      </c>
    </row>
    <row r="117" spans="1:19" x14ac:dyDescent="0.25">
      <c r="A117" s="1" t="s">
        <v>318</v>
      </c>
      <c r="B117" s="1" t="s">
        <v>403</v>
      </c>
      <c r="C117" s="33" t="s">
        <v>108</v>
      </c>
      <c r="D117" s="30" t="s">
        <v>107</v>
      </c>
      <c r="E117" s="152">
        <f>6250000*105%</f>
        <v>6562500</v>
      </c>
      <c r="F117" s="152">
        <f t="shared" si="102"/>
        <v>6562500</v>
      </c>
      <c r="G117" s="152"/>
      <c r="H117" s="152"/>
      <c r="I117" s="152">
        <f t="shared" si="103"/>
        <v>6562500</v>
      </c>
      <c r="J117" s="152"/>
      <c r="K117" s="152"/>
      <c r="L117" s="152">
        <f t="shared" si="104"/>
        <v>6562500</v>
      </c>
      <c r="M117" s="152"/>
      <c r="N117" s="152"/>
      <c r="O117" s="152">
        <f t="shared" si="105"/>
        <v>6562500</v>
      </c>
      <c r="P117" s="152"/>
      <c r="Q117" s="152"/>
      <c r="R117" s="222">
        <f t="shared" si="106"/>
        <v>6562500</v>
      </c>
      <c r="S117" s="222">
        <f t="shared" si="107"/>
        <v>0</v>
      </c>
    </row>
    <row r="118" spans="1:19" ht="22.5" x14ac:dyDescent="0.25">
      <c r="A118" s="1" t="s">
        <v>318</v>
      </c>
      <c r="B118" s="1" t="s">
        <v>403</v>
      </c>
      <c r="C118" s="33" t="s">
        <v>110</v>
      </c>
      <c r="D118" s="30" t="s">
        <v>109</v>
      </c>
      <c r="E118" s="152">
        <f>450000*105%</f>
        <v>472500</v>
      </c>
      <c r="F118" s="152">
        <f t="shared" si="102"/>
        <v>472500</v>
      </c>
      <c r="G118" s="152">
        <f>22340+35475+35120</f>
        <v>92935</v>
      </c>
      <c r="H118" s="152"/>
      <c r="I118" s="152">
        <f t="shared" si="103"/>
        <v>379565</v>
      </c>
      <c r="J118" s="152">
        <f>34495+34150+33890</f>
        <v>102535</v>
      </c>
      <c r="K118" s="152"/>
      <c r="L118" s="152">
        <f t="shared" si="104"/>
        <v>277030</v>
      </c>
      <c r="M118" s="152">
        <f>11040+32815+32645</f>
        <v>76500</v>
      </c>
      <c r="N118" s="152"/>
      <c r="O118" s="152">
        <f t="shared" si="105"/>
        <v>200530</v>
      </c>
      <c r="P118" s="152">
        <f>32020+31435</f>
        <v>63455</v>
      </c>
      <c r="Q118" s="152"/>
      <c r="R118" s="222">
        <f t="shared" si="106"/>
        <v>137075</v>
      </c>
      <c r="S118" s="222">
        <f t="shared" si="107"/>
        <v>335425</v>
      </c>
    </row>
    <row r="119" spans="1:19" ht="22.5" x14ac:dyDescent="0.25">
      <c r="A119" s="1" t="s">
        <v>318</v>
      </c>
      <c r="B119" s="1" t="s">
        <v>403</v>
      </c>
      <c r="C119" s="33" t="s">
        <v>304</v>
      </c>
      <c r="D119" s="30" t="s">
        <v>111</v>
      </c>
      <c r="E119" s="152">
        <f>476550000*105%</f>
        <v>500377500</v>
      </c>
      <c r="F119" s="152">
        <f t="shared" si="102"/>
        <v>521727500</v>
      </c>
      <c r="G119" s="152">
        <f>23651382+40647280+44034342</f>
        <v>108333004</v>
      </c>
      <c r="H119" s="152"/>
      <c r="I119" s="152">
        <f t="shared" si="103"/>
        <v>392044496</v>
      </c>
      <c r="J119" s="152">
        <f>865745+47774163+46447881+47982681</f>
        <v>143070470</v>
      </c>
      <c r="K119" s="152"/>
      <c r="L119" s="152">
        <f t="shared" si="104"/>
        <v>248974026</v>
      </c>
      <c r="M119" s="152">
        <f>14073365+46781371+46785446</f>
        <v>107640182</v>
      </c>
      <c r="N119" s="152"/>
      <c r="O119" s="152">
        <f t="shared" si="105"/>
        <v>141333844</v>
      </c>
      <c r="P119" s="152">
        <f>52638446+48248342</f>
        <v>100886788</v>
      </c>
      <c r="Q119" s="152">
        <v>21350000</v>
      </c>
      <c r="R119" s="221">
        <f t="shared" si="106"/>
        <v>61797056</v>
      </c>
      <c r="S119" s="221">
        <f t="shared" si="107"/>
        <v>459930444</v>
      </c>
    </row>
    <row r="120" spans="1:19" x14ac:dyDescent="0.25">
      <c r="A120" s="1" t="s">
        <v>318</v>
      </c>
      <c r="B120" s="1" t="s">
        <v>403</v>
      </c>
      <c r="C120" s="33" t="s">
        <v>411</v>
      </c>
      <c r="D120" s="30" t="s">
        <v>401</v>
      </c>
      <c r="E120" s="152">
        <v>0</v>
      </c>
      <c r="F120" s="152">
        <f t="shared" si="102"/>
        <v>369797194</v>
      </c>
      <c r="G120" s="152"/>
      <c r="H120" s="152"/>
      <c r="I120" s="152">
        <f t="shared" si="103"/>
        <v>0</v>
      </c>
      <c r="J120" s="152"/>
      <c r="K120" s="152"/>
      <c r="L120" s="152">
        <f t="shared" si="104"/>
        <v>0</v>
      </c>
      <c r="M120" s="152">
        <v>191196849</v>
      </c>
      <c r="N120" s="152">
        <f>444797194</f>
        <v>444797194</v>
      </c>
      <c r="O120" s="152">
        <f t="shared" si="105"/>
        <v>253600345</v>
      </c>
      <c r="P120" s="152">
        <f>57902351+57935608</f>
        <v>115837959</v>
      </c>
      <c r="Q120" s="152">
        <v>-75000000</v>
      </c>
      <c r="R120" s="227">
        <f t="shared" si="106"/>
        <v>62762386</v>
      </c>
      <c r="S120" s="227">
        <f t="shared" si="107"/>
        <v>307034808</v>
      </c>
    </row>
    <row r="121" spans="1:19" ht="22.5" x14ac:dyDescent="0.25">
      <c r="A121" s="96" t="s">
        <v>315</v>
      </c>
      <c r="B121" s="96"/>
      <c r="C121" s="34" t="s">
        <v>112</v>
      </c>
      <c r="D121" s="28" t="s">
        <v>113</v>
      </c>
      <c r="E121" s="103">
        <f>+E122+E124</f>
        <v>6721785000</v>
      </c>
      <c r="F121" s="27">
        <f t="shared" ref="F121:R121" si="108">+F122+F124</f>
        <v>6902235000</v>
      </c>
      <c r="G121" s="27">
        <f t="shared" si="108"/>
        <v>1586830350</v>
      </c>
      <c r="H121" s="27">
        <f t="shared" si="108"/>
        <v>0</v>
      </c>
      <c r="I121" s="27">
        <f t="shared" si="108"/>
        <v>5134954650</v>
      </c>
      <c r="J121" s="27">
        <f t="shared" si="108"/>
        <v>1779991997</v>
      </c>
      <c r="K121" s="27">
        <f t="shared" si="108"/>
        <v>0</v>
      </c>
      <c r="L121" s="27">
        <f t="shared" si="108"/>
        <v>3354962653</v>
      </c>
      <c r="M121" s="27">
        <f t="shared" si="108"/>
        <v>1646782997</v>
      </c>
      <c r="N121" s="27">
        <f t="shared" si="108"/>
        <v>0</v>
      </c>
      <c r="O121" s="27">
        <f t="shared" si="108"/>
        <v>1708179656</v>
      </c>
      <c r="P121" s="27">
        <f t="shared" si="108"/>
        <v>1095672400</v>
      </c>
      <c r="Q121" s="27">
        <f t="shared" si="108"/>
        <v>180450000</v>
      </c>
      <c r="R121" s="27">
        <f t="shared" si="108"/>
        <v>792957256</v>
      </c>
      <c r="S121" s="27">
        <f t="shared" ref="S121" si="109">+S122+S124</f>
        <v>6109277744</v>
      </c>
    </row>
    <row r="122" spans="1:19" ht="22.5" x14ac:dyDescent="0.25">
      <c r="A122" s="96" t="s">
        <v>315</v>
      </c>
      <c r="B122" s="96"/>
      <c r="C122" s="34" t="s">
        <v>114</v>
      </c>
      <c r="D122" s="28" t="s">
        <v>30</v>
      </c>
      <c r="E122" s="103">
        <f>+E123</f>
        <v>2959635000</v>
      </c>
      <c r="F122" s="27">
        <f t="shared" ref="F122:S122" si="110">+F123</f>
        <v>2991885000</v>
      </c>
      <c r="G122" s="27">
        <f t="shared" si="110"/>
        <v>705201520</v>
      </c>
      <c r="H122" s="27">
        <f t="shared" si="110"/>
        <v>0</v>
      </c>
      <c r="I122" s="27">
        <f t="shared" si="110"/>
        <v>2254433480</v>
      </c>
      <c r="J122" s="27">
        <f t="shared" si="110"/>
        <v>791049459</v>
      </c>
      <c r="K122" s="27">
        <f t="shared" si="110"/>
        <v>0</v>
      </c>
      <c r="L122" s="27">
        <f t="shared" si="110"/>
        <v>1463384021</v>
      </c>
      <c r="M122" s="27">
        <f t="shared" si="110"/>
        <v>731777900</v>
      </c>
      <c r="N122" s="27">
        <f t="shared" si="110"/>
        <v>0</v>
      </c>
      <c r="O122" s="27">
        <f t="shared" si="110"/>
        <v>731606121</v>
      </c>
      <c r="P122" s="27">
        <f t="shared" si="110"/>
        <v>487017200</v>
      </c>
      <c r="Q122" s="27">
        <f t="shared" si="110"/>
        <v>32250000</v>
      </c>
      <c r="R122" s="27">
        <f t="shared" si="110"/>
        <v>276838921</v>
      </c>
      <c r="S122" s="27">
        <f t="shared" si="110"/>
        <v>2715046079</v>
      </c>
    </row>
    <row r="123" spans="1:19" x14ac:dyDescent="0.25">
      <c r="A123" s="1" t="s">
        <v>318</v>
      </c>
      <c r="B123" s="1" t="s">
        <v>403</v>
      </c>
      <c r="C123" s="33" t="s">
        <v>115</v>
      </c>
      <c r="D123" s="30" t="s">
        <v>31</v>
      </c>
      <c r="E123" s="152">
        <f>2818700000*105%</f>
        <v>2959635000</v>
      </c>
      <c r="F123" s="152">
        <f>+E123+H123+K123+N123+Q123</f>
        <v>2991885000</v>
      </c>
      <c r="G123" s="152">
        <f>228288358+27262+236814770+401030+239670100</f>
        <v>705201520</v>
      </c>
      <c r="H123" s="152"/>
      <c r="I123" s="152">
        <f>+E123-G123+H123</f>
        <v>2254433480</v>
      </c>
      <c r="J123" s="152">
        <f>7025544+239207708+2716007+246094600+296005600</f>
        <v>791049459</v>
      </c>
      <c r="K123" s="152"/>
      <c r="L123" s="152">
        <f>+I123+K123-J123</f>
        <v>1463384021</v>
      </c>
      <c r="M123" s="152">
        <f>241883000+100400+237711100+45800+251946913+90687</f>
        <v>731777900</v>
      </c>
      <c r="N123" s="152"/>
      <c r="O123" s="152">
        <f>+L123+N123-M123</f>
        <v>731606121</v>
      </c>
      <c r="P123" s="152">
        <f>243710400+118500+243126600+61700</f>
        <v>487017200</v>
      </c>
      <c r="Q123" s="152">
        <v>32250000</v>
      </c>
      <c r="R123" s="221">
        <f>+O123+Q123-P123</f>
        <v>276838921</v>
      </c>
      <c r="S123" s="221">
        <f>+F123-R123</f>
        <v>2715046079</v>
      </c>
    </row>
    <row r="124" spans="1:19" ht="22.5" x14ac:dyDescent="0.25">
      <c r="A124" s="96" t="s">
        <v>315</v>
      </c>
      <c r="B124" s="96"/>
      <c r="C124" s="34" t="s">
        <v>116</v>
      </c>
      <c r="D124" s="28" t="s">
        <v>36</v>
      </c>
      <c r="E124" s="103">
        <f>SUM(E125:E128)</f>
        <v>3762150000</v>
      </c>
      <c r="F124" s="27">
        <f t="shared" ref="F124:R124" si="111">SUM(F125:F128)</f>
        <v>3910350000</v>
      </c>
      <c r="G124" s="27">
        <f t="shared" si="111"/>
        <v>881628830</v>
      </c>
      <c r="H124" s="27">
        <f t="shared" si="111"/>
        <v>0</v>
      </c>
      <c r="I124" s="27">
        <f t="shared" si="111"/>
        <v>2880521170</v>
      </c>
      <c r="J124" s="27">
        <f t="shared" si="111"/>
        <v>988942538</v>
      </c>
      <c r="K124" s="27">
        <f t="shared" si="111"/>
        <v>0</v>
      </c>
      <c r="L124" s="27">
        <f t="shared" si="111"/>
        <v>1891578632</v>
      </c>
      <c r="M124" s="27">
        <f t="shared" si="111"/>
        <v>915005097</v>
      </c>
      <c r="N124" s="27">
        <f t="shared" si="111"/>
        <v>0</v>
      </c>
      <c r="O124" s="27">
        <f t="shared" si="111"/>
        <v>976573535</v>
      </c>
      <c r="P124" s="27">
        <f t="shared" si="111"/>
        <v>608655200</v>
      </c>
      <c r="Q124" s="27">
        <f t="shared" si="111"/>
        <v>148200000</v>
      </c>
      <c r="R124" s="27">
        <f t="shared" si="111"/>
        <v>516118335</v>
      </c>
      <c r="S124" s="27">
        <f t="shared" ref="S124" si="112">SUM(S125:S128)</f>
        <v>3394231665</v>
      </c>
    </row>
    <row r="125" spans="1:19" ht="22.5" x14ac:dyDescent="0.25">
      <c r="A125" s="1" t="s">
        <v>318</v>
      </c>
      <c r="B125" s="1" t="s">
        <v>403</v>
      </c>
      <c r="C125" s="33" t="s">
        <v>117</v>
      </c>
      <c r="D125" s="30" t="s">
        <v>37</v>
      </c>
      <c r="E125" s="152">
        <f>386550000*105%</f>
        <v>405877500</v>
      </c>
      <c r="F125" s="152">
        <f>+E125+H125+K125+N125+Q125</f>
        <v>372877500</v>
      </c>
      <c r="G125" s="152">
        <f>28582632+3408+29655771+50129+30011000</f>
        <v>88302940</v>
      </c>
      <c r="H125" s="152"/>
      <c r="I125" s="152">
        <f>+E125-G125+H125</f>
        <v>317574560</v>
      </c>
      <c r="J125" s="152">
        <f>882720+29954501+339501+30810800+36980300</f>
        <v>98967822</v>
      </c>
      <c r="K125" s="152"/>
      <c r="L125" s="152">
        <f>+I125+K125-J125</f>
        <v>218606738</v>
      </c>
      <c r="M125" s="152">
        <f>30165400+12400+29764300+5500+31601264+11336</f>
        <v>91560200</v>
      </c>
      <c r="N125" s="152"/>
      <c r="O125" s="152">
        <f>+L125+N125-M125</f>
        <v>127046538</v>
      </c>
      <c r="P125" s="152">
        <f>30455600+14800+30382300+7600</f>
        <v>60860300</v>
      </c>
      <c r="Q125" s="152">
        <f>-35000000+2000000</f>
        <v>-33000000</v>
      </c>
      <c r="R125" s="227">
        <f>+O125+Q125-P125</f>
        <v>33186238</v>
      </c>
      <c r="S125" s="227">
        <f t="shared" ref="S125:S128" si="113">+F125-R125</f>
        <v>339691262</v>
      </c>
    </row>
    <row r="126" spans="1:19" ht="22.5" x14ac:dyDescent="0.25">
      <c r="A126" s="1" t="s">
        <v>318</v>
      </c>
      <c r="B126" s="1" t="s">
        <v>403</v>
      </c>
      <c r="C126" s="33" t="s">
        <v>118</v>
      </c>
      <c r="D126" s="30" t="s">
        <v>38</v>
      </c>
      <c r="E126" s="152">
        <f>2120800000*105%</f>
        <v>2226840000</v>
      </c>
      <c r="F126" s="152">
        <f>+E126+H126+K126+N126+Q126</f>
        <v>2424040000</v>
      </c>
      <c r="G126" s="152">
        <f>171156484+20446+177637328+300772+179777400</f>
        <v>528892430</v>
      </c>
      <c r="H126" s="152"/>
      <c r="I126" s="152">
        <f>+E126-G126+H126</f>
        <v>1697947570</v>
      </c>
      <c r="J126" s="152">
        <f>5354043+179436603+2037006+184594100+221936400</f>
        <v>593358152</v>
      </c>
      <c r="K126" s="152"/>
      <c r="L126" s="152">
        <f>+I126+K126-J126</f>
        <v>1104589418</v>
      </c>
      <c r="M126" s="152">
        <f>181414700+75400+178306300+34600+189017985+68015</f>
        <v>548917000</v>
      </c>
      <c r="N126" s="152"/>
      <c r="O126" s="152">
        <f>+L126+N126-M126</f>
        <v>555672418</v>
      </c>
      <c r="P126" s="152">
        <f>182763200+89100+182325300+46300</f>
        <v>365223900</v>
      </c>
      <c r="Q126" s="152">
        <v>197200000</v>
      </c>
      <c r="R126" s="224">
        <f>+O126+Q126-P126</f>
        <v>387648518</v>
      </c>
      <c r="S126" s="224">
        <f t="shared" si="113"/>
        <v>2036391482</v>
      </c>
    </row>
    <row r="127" spans="1:19" ht="22.5" x14ac:dyDescent="0.25">
      <c r="A127" s="1" t="s">
        <v>318</v>
      </c>
      <c r="B127" s="1" t="s">
        <v>403</v>
      </c>
      <c r="C127" s="33" t="s">
        <v>119</v>
      </c>
      <c r="D127" s="30" t="s">
        <v>39</v>
      </c>
      <c r="E127" s="152">
        <f>712100000*105%</f>
        <v>747705000</v>
      </c>
      <c r="F127" s="152">
        <f>+E127+H127+K127+N127+Q127</f>
        <v>741705000</v>
      </c>
      <c r="G127" s="152">
        <f>56993505+6815+59157343+100257+59872600</f>
        <v>176130520</v>
      </c>
      <c r="H127" s="152"/>
      <c r="I127" s="152">
        <f>+E127-G127+H127</f>
        <v>571574480</v>
      </c>
      <c r="J127" s="152">
        <f>1792340+59760600+679002+61479200+73937600</f>
        <v>197648742</v>
      </c>
      <c r="K127" s="152"/>
      <c r="L127" s="152">
        <f>+I127+K127-J127</f>
        <v>373925738</v>
      </c>
      <c r="M127" s="152">
        <f>60474500+25400+59382000+11600+63051528+22672</f>
        <v>182967700</v>
      </c>
      <c r="N127" s="152"/>
      <c r="O127" s="152">
        <f>+L127+N127-M127</f>
        <v>190958038</v>
      </c>
      <c r="P127" s="152">
        <f>29700+60905600+60760000+15400</f>
        <v>121710700</v>
      </c>
      <c r="Q127" s="152">
        <f>-8000000+2000000</f>
        <v>-6000000</v>
      </c>
      <c r="R127" s="223">
        <f>+O127+Q127-P127</f>
        <v>63247338</v>
      </c>
      <c r="S127" s="223">
        <f t="shared" si="113"/>
        <v>678457662</v>
      </c>
    </row>
    <row r="128" spans="1:19" ht="22.5" x14ac:dyDescent="0.25">
      <c r="A128" s="1" t="s">
        <v>318</v>
      </c>
      <c r="B128" s="1" t="s">
        <v>403</v>
      </c>
      <c r="C128" s="33" t="s">
        <v>120</v>
      </c>
      <c r="D128" s="30" t="s">
        <v>40</v>
      </c>
      <c r="E128" s="152">
        <f>363550000*105%</f>
        <v>381727500</v>
      </c>
      <c r="F128" s="152">
        <f>+E128+H128+K128+N128+Q128</f>
        <v>371727500</v>
      </c>
      <c r="G128" s="152">
        <f>28582632+3408+29655771+50129+30011000</f>
        <v>88302940</v>
      </c>
      <c r="H128" s="152"/>
      <c r="I128" s="152">
        <f>+E128-G128+H128</f>
        <v>293424560</v>
      </c>
      <c r="J128" s="152">
        <f>882720+29954501+339501+30810800+36980300</f>
        <v>98967822</v>
      </c>
      <c r="K128" s="152"/>
      <c r="L128" s="152">
        <f>+I128+K128-J128</f>
        <v>194456738</v>
      </c>
      <c r="M128" s="152">
        <f>30165400+12400+29764300+5500+31601261+11336</f>
        <v>91560197</v>
      </c>
      <c r="N128" s="152"/>
      <c r="O128" s="152">
        <f>+L128+N128-M128</f>
        <v>102896541</v>
      </c>
      <c r="P128" s="152">
        <f>30455600+14800+30382300+7600</f>
        <v>60860300</v>
      </c>
      <c r="Q128" s="152">
        <v>-10000000</v>
      </c>
      <c r="R128" s="223">
        <f>+O128+Q128-P128</f>
        <v>32036241</v>
      </c>
      <c r="S128" s="223">
        <f t="shared" si="113"/>
        <v>339691259</v>
      </c>
    </row>
    <row r="129" spans="1:19" x14ac:dyDescent="0.25">
      <c r="A129" s="96" t="s">
        <v>315</v>
      </c>
      <c r="B129" s="96"/>
      <c r="C129" s="34" t="s">
        <v>121</v>
      </c>
      <c r="D129" s="28" t="s">
        <v>122</v>
      </c>
      <c r="E129" s="103">
        <f>+E130</f>
        <v>630000000</v>
      </c>
      <c r="F129" s="27">
        <f t="shared" ref="F129:S129" si="114">+F130</f>
        <v>85000000</v>
      </c>
      <c r="G129" s="27">
        <f t="shared" si="114"/>
        <v>10707295</v>
      </c>
      <c r="H129" s="27">
        <f t="shared" si="114"/>
        <v>0</v>
      </c>
      <c r="I129" s="27">
        <f t="shared" si="114"/>
        <v>619292705</v>
      </c>
      <c r="J129" s="27">
        <f t="shared" si="114"/>
        <v>67900186</v>
      </c>
      <c r="K129" s="27">
        <f t="shared" si="114"/>
        <v>0</v>
      </c>
      <c r="L129" s="27">
        <f t="shared" si="114"/>
        <v>551392519</v>
      </c>
      <c r="M129" s="27">
        <f t="shared" si="114"/>
        <v>6142924</v>
      </c>
      <c r="N129" s="27">
        <f t="shared" si="114"/>
        <v>0</v>
      </c>
      <c r="O129" s="27">
        <f t="shared" si="114"/>
        <v>545249595</v>
      </c>
      <c r="P129" s="27">
        <f t="shared" si="114"/>
        <v>0</v>
      </c>
      <c r="Q129" s="27">
        <f t="shared" si="114"/>
        <v>-545000000</v>
      </c>
      <c r="R129" s="27">
        <f t="shared" si="114"/>
        <v>249595</v>
      </c>
      <c r="S129" s="27">
        <f t="shared" si="114"/>
        <v>84750405</v>
      </c>
    </row>
    <row r="130" spans="1:19" x14ac:dyDescent="0.25">
      <c r="A130" s="1" t="s">
        <v>318</v>
      </c>
      <c r="B130" s="1" t="s">
        <v>403</v>
      </c>
      <c r="C130" s="33" t="s">
        <v>123</v>
      </c>
      <c r="D130" s="30" t="s">
        <v>124</v>
      </c>
      <c r="E130" s="152">
        <v>630000000</v>
      </c>
      <c r="F130" s="152">
        <f>+E130+H130+K130+N130+Q130</f>
        <v>85000000</v>
      </c>
      <c r="G130" s="152">
        <f>681546+10025749</f>
        <v>10707295</v>
      </c>
      <c r="H130" s="152"/>
      <c r="I130" s="152">
        <f>+E130-G130+H130</f>
        <v>619292705</v>
      </c>
      <c r="J130" s="152">
        <v>67900186</v>
      </c>
      <c r="K130" s="152"/>
      <c r="L130" s="152">
        <f>+I130+K130-J130</f>
        <v>551392519</v>
      </c>
      <c r="M130" s="152">
        <f>2705875+1169867+2267182</f>
        <v>6142924</v>
      </c>
      <c r="N130" s="152"/>
      <c r="O130" s="152">
        <f>+L130+N130-M130</f>
        <v>545249595</v>
      </c>
      <c r="P130" s="152"/>
      <c r="Q130" s="152">
        <v>-545000000</v>
      </c>
      <c r="R130" s="223">
        <f>+O130+Q130-P130</f>
        <v>249595</v>
      </c>
      <c r="S130" s="223">
        <f>+F130-R130</f>
        <v>84750405</v>
      </c>
    </row>
    <row r="131" spans="1:19" x14ac:dyDescent="0.25">
      <c r="A131" s="96" t="s">
        <v>315</v>
      </c>
      <c r="B131" s="96"/>
      <c r="C131" s="34" t="s">
        <v>125</v>
      </c>
      <c r="D131" s="28" t="s">
        <v>126</v>
      </c>
      <c r="E131" s="103">
        <f>+E132</f>
        <v>10000000</v>
      </c>
      <c r="F131" s="27">
        <f t="shared" ref="F131:S131" si="115">+F132</f>
        <v>10000000</v>
      </c>
      <c r="G131" s="27">
        <f t="shared" si="115"/>
        <v>0</v>
      </c>
      <c r="H131" s="27">
        <f t="shared" si="115"/>
        <v>0</v>
      </c>
      <c r="I131" s="27">
        <f t="shared" si="115"/>
        <v>10000000</v>
      </c>
      <c r="J131" s="27">
        <f t="shared" si="115"/>
        <v>0</v>
      </c>
      <c r="K131" s="27">
        <f t="shared" si="115"/>
        <v>0</v>
      </c>
      <c r="L131" s="27">
        <f t="shared" si="115"/>
        <v>10000000</v>
      </c>
      <c r="M131" s="27">
        <f t="shared" si="115"/>
        <v>0</v>
      </c>
      <c r="N131" s="27">
        <f t="shared" si="115"/>
        <v>0</v>
      </c>
      <c r="O131" s="27">
        <f t="shared" si="115"/>
        <v>10000000</v>
      </c>
      <c r="P131" s="27">
        <f t="shared" si="115"/>
        <v>0</v>
      </c>
      <c r="Q131" s="27">
        <f t="shared" si="115"/>
        <v>0</v>
      </c>
      <c r="R131" s="27">
        <f t="shared" si="115"/>
        <v>10000000</v>
      </c>
      <c r="S131" s="27">
        <f t="shared" si="115"/>
        <v>0</v>
      </c>
    </row>
    <row r="132" spans="1:19" x14ac:dyDescent="0.25">
      <c r="A132" s="1" t="s">
        <v>318</v>
      </c>
      <c r="B132" s="1" t="s">
        <v>403</v>
      </c>
      <c r="C132" s="33" t="s">
        <v>127</v>
      </c>
      <c r="D132" s="30" t="s">
        <v>128</v>
      </c>
      <c r="E132" s="152">
        <v>10000000</v>
      </c>
      <c r="F132" s="152">
        <f>+E132+H132+K132+N132+Q132</f>
        <v>10000000</v>
      </c>
      <c r="G132" s="152"/>
      <c r="H132" s="152"/>
      <c r="I132" s="152">
        <f>+E132-G132+H132</f>
        <v>10000000</v>
      </c>
      <c r="J132" s="152"/>
      <c r="K132" s="152"/>
      <c r="L132" s="152">
        <f>+I132+K132-J132</f>
        <v>10000000</v>
      </c>
      <c r="M132" s="152"/>
      <c r="N132" s="152"/>
      <c r="O132" s="152">
        <f>+L132+N132-M132</f>
        <v>10000000</v>
      </c>
      <c r="P132" s="152"/>
      <c r="Q132" s="152"/>
      <c r="R132" s="222">
        <f>+O132+Q132-P132</f>
        <v>10000000</v>
      </c>
      <c r="S132" s="222">
        <f>+F132-R132</f>
        <v>0</v>
      </c>
    </row>
    <row r="133" spans="1:19" x14ac:dyDescent="0.25">
      <c r="A133" s="96" t="s">
        <v>315</v>
      </c>
      <c r="B133" s="96"/>
      <c r="C133" s="34" t="s">
        <v>129</v>
      </c>
      <c r="D133" s="28" t="s">
        <v>41</v>
      </c>
      <c r="E133" s="103">
        <f>+E134</f>
        <v>26460000</v>
      </c>
      <c r="F133" s="27">
        <f t="shared" ref="F133:S134" si="116">+F134</f>
        <v>28960000</v>
      </c>
      <c r="G133" s="27">
        <f t="shared" si="116"/>
        <v>9797600</v>
      </c>
      <c r="H133" s="27">
        <f t="shared" si="116"/>
        <v>0</v>
      </c>
      <c r="I133" s="27">
        <f t="shared" si="116"/>
        <v>16662400</v>
      </c>
      <c r="J133" s="27">
        <f t="shared" si="116"/>
        <v>0</v>
      </c>
      <c r="K133" s="27">
        <f t="shared" si="116"/>
        <v>0</v>
      </c>
      <c r="L133" s="27">
        <f t="shared" si="116"/>
        <v>16662400</v>
      </c>
      <c r="M133" s="27">
        <f t="shared" si="116"/>
        <v>9268000</v>
      </c>
      <c r="N133" s="27">
        <f t="shared" si="116"/>
        <v>2500000</v>
      </c>
      <c r="O133" s="27">
        <f t="shared" si="116"/>
        <v>9894400</v>
      </c>
      <c r="P133" s="27">
        <f t="shared" si="116"/>
        <v>8738400</v>
      </c>
      <c r="Q133" s="27">
        <f t="shared" si="116"/>
        <v>0</v>
      </c>
      <c r="R133" s="27">
        <f t="shared" si="116"/>
        <v>1156000</v>
      </c>
      <c r="S133" s="27">
        <f t="shared" si="116"/>
        <v>27804000</v>
      </c>
    </row>
    <row r="134" spans="1:19" x14ac:dyDescent="0.25">
      <c r="A134" s="96" t="s">
        <v>315</v>
      </c>
      <c r="B134" s="96"/>
      <c r="C134" s="34" t="s">
        <v>130</v>
      </c>
      <c r="D134" s="28" t="s">
        <v>88</v>
      </c>
      <c r="E134" s="103">
        <f>+E135</f>
        <v>26460000</v>
      </c>
      <c r="F134" s="27">
        <f t="shared" si="116"/>
        <v>28960000</v>
      </c>
      <c r="G134" s="27">
        <f t="shared" si="116"/>
        <v>9797600</v>
      </c>
      <c r="H134" s="27">
        <f t="shared" si="116"/>
        <v>0</v>
      </c>
      <c r="I134" s="27">
        <f t="shared" si="116"/>
        <v>16662400</v>
      </c>
      <c r="J134" s="27">
        <f t="shared" si="116"/>
        <v>0</v>
      </c>
      <c r="K134" s="27">
        <f t="shared" si="116"/>
        <v>0</v>
      </c>
      <c r="L134" s="27">
        <f t="shared" si="116"/>
        <v>16662400</v>
      </c>
      <c r="M134" s="27">
        <f t="shared" si="116"/>
        <v>9268000</v>
      </c>
      <c r="N134" s="27">
        <f t="shared" si="116"/>
        <v>2500000</v>
      </c>
      <c r="O134" s="27">
        <f t="shared" si="116"/>
        <v>9894400</v>
      </c>
      <c r="P134" s="27">
        <f t="shared" si="116"/>
        <v>8738400</v>
      </c>
      <c r="Q134" s="27">
        <f t="shared" si="116"/>
        <v>0</v>
      </c>
      <c r="R134" s="27">
        <f t="shared" si="116"/>
        <v>1156000</v>
      </c>
      <c r="S134" s="27">
        <f t="shared" si="116"/>
        <v>27804000</v>
      </c>
    </row>
    <row r="135" spans="1:19" x14ac:dyDescent="0.25">
      <c r="A135" s="1" t="s">
        <v>318</v>
      </c>
      <c r="B135" s="1" t="s">
        <v>403</v>
      </c>
      <c r="C135" s="33" t="s">
        <v>131</v>
      </c>
      <c r="D135" s="30" t="s">
        <v>132</v>
      </c>
      <c r="E135" s="152">
        <f>25200000*105%</f>
        <v>26460000</v>
      </c>
      <c r="F135" s="152">
        <f>+E135+H135+K135+N135+Q135</f>
        <v>28960000</v>
      </c>
      <c r="G135" s="152">
        <v>9797600</v>
      </c>
      <c r="H135" s="152"/>
      <c r="I135" s="152">
        <f>+E135-G135+H135</f>
        <v>16662400</v>
      </c>
      <c r="J135" s="152"/>
      <c r="K135" s="152"/>
      <c r="L135" s="152">
        <f>+I135+K135-J135</f>
        <v>16662400</v>
      </c>
      <c r="M135" s="152">
        <f>7944000-7944000+9268000</f>
        <v>9268000</v>
      </c>
      <c r="N135" s="152">
        <v>2500000</v>
      </c>
      <c r="O135" s="152">
        <f>+L135+N135-M135</f>
        <v>9894400</v>
      </c>
      <c r="P135" s="152">
        <v>8738400</v>
      </c>
      <c r="Q135" s="152"/>
      <c r="R135" s="222">
        <f>+O135+Q135-P135</f>
        <v>1156000</v>
      </c>
      <c r="S135" s="222">
        <f>+F135-R135</f>
        <v>27804000</v>
      </c>
    </row>
    <row r="136" spans="1:19" x14ac:dyDescent="0.25">
      <c r="A136" s="96" t="s">
        <v>315</v>
      </c>
      <c r="B136" s="96"/>
      <c r="C136" s="34" t="s">
        <v>133</v>
      </c>
      <c r="D136" s="28" t="s">
        <v>134</v>
      </c>
      <c r="E136" s="103">
        <f>+E137</f>
        <v>5000000</v>
      </c>
      <c r="F136" s="27">
        <f t="shared" ref="F136:S136" si="117">+F137</f>
        <v>0</v>
      </c>
      <c r="G136" s="27">
        <f t="shared" si="117"/>
        <v>0</v>
      </c>
      <c r="H136" s="27">
        <f t="shared" si="117"/>
        <v>0</v>
      </c>
      <c r="I136" s="27">
        <f t="shared" si="117"/>
        <v>5000000</v>
      </c>
      <c r="J136" s="27">
        <f t="shared" si="117"/>
        <v>0</v>
      </c>
      <c r="K136" s="27">
        <f t="shared" si="117"/>
        <v>0</v>
      </c>
      <c r="L136" s="27">
        <f t="shared" si="117"/>
        <v>5000000</v>
      </c>
      <c r="M136" s="27">
        <f t="shared" si="117"/>
        <v>0</v>
      </c>
      <c r="N136" s="27">
        <f t="shared" si="117"/>
        <v>0</v>
      </c>
      <c r="O136" s="27">
        <f t="shared" si="117"/>
        <v>5000000</v>
      </c>
      <c r="P136" s="27">
        <f t="shared" si="117"/>
        <v>0</v>
      </c>
      <c r="Q136" s="27">
        <f t="shared" si="117"/>
        <v>-5000000</v>
      </c>
      <c r="R136" s="27">
        <f t="shared" si="117"/>
        <v>0</v>
      </c>
      <c r="S136" s="27">
        <f t="shared" si="117"/>
        <v>0</v>
      </c>
    </row>
    <row r="137" spans="1:19" x14ac:dyDescent="0.25">
      <c r="A137" s="1" t="s">
        <v>318</v>
      </c>
      <c r="C137" s="33" t="s">
        <v>135</v>
      </c>
      <c r="D137" s="30" t="s">
        <v>56</v>
      </c>
      <c r="E137" s="152">
        <v>5000000</v>
      </c>
      <c r="F137" s="152">
        <f>+E137+H137+K137+N137+Q137</f>
        <v>0</v>
      </c>
      <c r="G137" s="152"/>
      <c r="H137" s="152"/>
      <c r="I137" s="152">
        <f>+E137-G137+H137</f>
        <v>5000000</v>
      </c>
      <c r="J137" s="152"/>
      <c r="K137" s="152"/>
      <c r="L137" s="152">
        <f>+I137+K137-J137</f>
        <v>5000000</v>
      </c>
      <c r="M137" s="152"/>
      <c r="N137" s="152"/>
      <c r="O137" s="152">
        <f>+L137+N137-M137</f>
        <v>5000000</v>
      </c>
      <c r="P137" s="152"/>
      <c r="Q137" s="152">
        <v>-5000000</v>
      </c>
      <c r="R137" s="223">
        <f>+O137+Q137-P137</f>
        <v>0</v>
      </c>
      <c r="S137" s="223">
        <f>+F137-R137</f>
        <v>0</v>
      </c>
    </row>
    <row r="138" spans="1:19" ht="22.5" x14ac:dyDescent="0.25">
      <c r="A138" s="96" t="s">
        <v>315</v>
      </c>
      <c r="B138" s="96"/>
      <c r="C138" s="35" t="s">
        <v>136</v>
      </c>
      <c r="D138" s="36" t="s">
        <v>137</v>
      </c>
      <c r="E138" s="104">
        <f>+E139+E140</f>
        <v>12600000000</v>
      </c>
      <c r="F138" s="37">
        <f t="shared" ref="F138:R138" si="118">+F139+F140</f>
        <v>12600000000</v>
      </c>
      <c r="G138" s="37">
        <f t="shared" si="118"/>
        <v>2948407111</v>
      </c>
      <c r="H138" s="37">
        <f t="shared" si="118"/>
        <v>0</v>
      </c>
      <c r="I138" s="37">
        <f t="shared" si="118"/>
        <v>9651592889</v>
      </c>
      <c r="J138" s="37">
        <f t="shared" si="118"/>
        <v>3251753278</v>
      </c>
      <c r="K138" s="37">
        <f t="shared" si="118"/>
        <v>0</v>
      </c>
      <c r="L138" s="37">
        <f t="shared" si="118"/>
        <v>6399839611</v>
      </c>
      <c r="M138" s="37">
        <f t="shared" si="118"/>
        <v>3085382606</v>
      </c>
      <c r="N138" s="37">
        <f t="shared" si="118"/>
        <v>0</v>
      </c>
      <c r="O138" s="37">
        <f t="shared" si="118"/>
        <v>3314457005</v>
      </c>
      <c r="P138" s="37">
        <f t="shared" si="118"/>
        <v>2041435480</v>
      </c>
      <c r="Q138" s="37">
        <f t="shared" si="118"/>
        <v>0</v>
      </c>
      <c r="R138" s="37">
        <f t="shared" si="118"/>
        <v>1273021525</v>
      </c>
      <c r="S138" s="37">
        <f t="shared" ref="S138" si="119">+S139+S140</f>
        <v>11326978475</v>
      </c>
    </row>
    <row r="139" spans="1:19" x14ac:dyDescent="0.25">
      <c r="A139" s="1" t="s">
        <v>318</v>
      </c>
      <c r="B139" s="1" t="s">
        <v>403</v>
      </c>
      <c r="C139" s="38" t="s">
        <v>138</v>
      </c>
      <c r="D139" s="39" t="s">
        <v>139</v>
      </c>
      <c r="E139" s="154">
        <v>6200000000</v>
      </c>
      <c r="F139" s="154">
        <f>+E139+H139+K139+N139+Q139</f>
        <v>6350000000</v>
      </c>
      <c r="G139" s="154">
        <f>475361453+56796+491747243+835479+496770981</f>
        <v>1464771952</v>
      </c>
      <c r="H139" s="154"/>
      <c r="I139" s="154">
        <f>+E139-G139+H139</f>
        <v>4735228048</v>
      </c>
      <c r="J139" s="154">
        <f>27400271+537156470+5658349+515921656+617490405</f>
        <v>1703627151</v>
      </c>
      <c r="K139" s="154"/>
      <c r="L139" s="154">
        <f>+I139+K139-J139</f>
        <v>3031600897</v>
      </c>
      <c r="M139" s="154">
        <f>507333415+225490+498462342+97489+538883313+188932</f>
        <v>1545190981</v>
      </c>
      <c r="N139" s="154"/>
      <c r="O139" s="154">
        <f>+L139+N139-M139</f>
        <v>1486409916</v>
      </c>
      <c r="P139" s="154">
        <f>510302640+252777+507750546+129043</f>
        <v>1018435006</v>
      </c>
      <c r="Q139" s="154">
        <v>150000000</v>
      </c>
      <c r="R139" s="221">
        <f>+O139+Q139-P139</f>
        <v>617974910</v>
      </c>
      <c r="S139" s="221">
        <f t="shared" ref="S139:S140" si="120">+F139-R139</f>
        <v>5732025090</v>
      </c>
    </row>
    <row r="140" spans="1:19" x14ac:dyDescent="0.25">
      <c r="A140" s="1" t="s">
        <v>318</v>
      </c>
      <c r="B140" s="1" t="s">
        <v>403</v>
      </c>
      <c r="C140" s="38" t="s">
        <v>140</v>
      </c>
      <c r="D140" s="39" t="s">
        <v>141</v>
      </c>
      <c r="E140" s="154">
        <v>6400000000</v>
      </c>
      <c r="F140" s="154">
        <f>+E140+H140+K140+N140+Q140</f>
        <v>6250000000</v>
      </c>
      <c r="G140" s="154">
        <f>481809930+57931+497784433+852189+503130676</f>
        <v>1483635159</v>
      </c>
      <c r="H140" s="154"/>
      <c r="I140" s="154">
        <f>+E140-G140+H140</f>
        <v>4916364841</v>
      </c>
      <c r="J140" s="154">
        <f>14365984+502158777+5771516+516847962+508981888</f>
        <v>1548126127</v>
      </c>
      <c r="K140" s="154"/>
      <c r="L140" s="154">
        <f>+I140+K140-J140</f>
        <v>3368238714</v>
      </c>
      <c r="M140" s="154">
        <f>511988675+229999+499137796+99439+528543006+192710</f>
        <v>1540191625</v>
      </c>
      <c r="N140" s="154"/>
      <c r="O140" s="154">
        <f>+L140+N140-M140</f>
        <v>1828047089</v>
      </c>
      <c r="P140" s="154">
        <f>512065457+257832+510545561+131624</f>
        <v>1023000474</v>
      </c>
      <c r="Q140" s="154">
        <v>-150000000</v>
      </c>
      <c r="R140" s="227">
        <f>+O140+Q140-P140</f>
        <v>655046615</v>
      </c>
      <c r="S140" s="227">
        <f t="shared" si="120"/>
        <v>5594953385</v>
      </c>
    </row>
    <row r="141" spans="1:19" ht="30" customHeight="1" x14ac:dyDescent="0.25">
      <c r="A141" s="96" t="s">
        <v>315</v>
      </c>
      <c r="B141" s="96"/>
      <c r="C141" s="34" t="s">
        <v>142</v>
      </c>
      <c r="D141" s="205" t="s">
        <v>143</v>
      </c>
      <c r="E141" s="103">
        <f>+E142+E157</f>
        <v>9619615652.5</v>
      </c>
      <c r="F141" s="27">
        <f t="shared" ref="F141:R141" si="121">+F142+F157</f>
        <v>9409215652.5</v>
      </c>
      <c r="G141" s="27">
        <f t="shared" si="121"/>
        <v>2026235385</v>
      </c>
      <c r="H141" s="27">
        <f t="shared" si="121"/>
        <v>0</v>
      </c>
      <c r="I141" s="27">
        <f t="shared" si="121"/>
        <v>7593380267.5</v>
      </c>
      <c r="J141" s="27">
        <f t="shared" si="121"/>
        <v>2226340708</v>
      </c>
      <c r="K141" s="27">
        <f t="shared" si="121"/>
        <v>-520000000</v>
      </c>
      <c r="L141" s="27">
        <f t="shared" si="121"/>
        <v>4847039559.5</v>
      </c>
      <c r="M141" s="27">
        <f t="shared" si="121"/>
        <v>2021822119</v>
      </c>
      <c r="N141" s="27">
        <f t="shared" si="121"/>
        <v>612500000</v>
      </c>
      <c r="O141" s="27">
        <f t="shared" si="121"/>
        <v>3437717440.5</v>
      </c>
      <c r="P141" s="27">
        <f t="shared" si="121"/>
        <v>2142216154</v>
      </c>
      <c r="Q141" s="27">
        <f t="shared" si="121"/>
        <v>-302900000</v>
      </c>
      <c r="R141" s="27">
        <f t="shared" si="121"/>
        <v>992601286.5</v>
      </c>
      <c r="S141" s="27">
        <f t="shared" ref="S141" si="122">+S142+S157</f>
        <v>8416614366</v>
      </c>
    </row>
    <row r="142" spans="1:19" ht="22.5" x14ac:dyDescent="0.25">
      <c r="A142" s="96" t="s">
        <v>315</v>
      </c>
      <c r="B142" s="96"/>
      <c r="C142" s="34" t="s">
        <v>144</v>
      </c>
      <c r="D142" s="28" t="s">
        <v>14</v>
      </c>
      <c r="E142" s="103">
        <f>+E143+E146+E147</f>
        <v>7561147652.5</v>
      </c>
      <c r="F142" s="27">
        <f t="shared" ref="F142:R142" si="123">+F143+F146+F147</f>
        <v>7554447652.5</v>
      </c>
      <c r="G142" s="27">
        <f t="shared" si="123"/>
        <v>1611836017</v>
      </c>
      <c r="H142" s="27">
        <f t="shared" si="123"/>
        <v>0</v>
      </c>
      <c r="I142" s="27">
        <f t="shared" si="123"/>
        <v>5949311635.5</v>
      </c>
      <c r="J142" s="27">
        <f t="shared" si="123"/>
        <v>1770596516</v>
      </c>
      <c r="K142" s="27">
        <f t="shared" si="123"/>
        <v>-520000000</v>
      </c>
      <c r="L142" s="27">
        <f t="shared" si="123"/>
        <v>3658715119.5</v>
      </c>
      <c r="M142" s="27">
        <f t="shared" si="123"/>
        <v>1603791731</v>
      </c>
      <c r="N142" s="27">
        <f t="shared" si="123"/>
        <v>612500000</v>
      </c>
      <c r="O142" s="27">
        <f t="shared" si="123"/>
        <v>2667423388.5</v>
      </c>
      <c r="P142" s="27">
        <f t="shared" si="123"/>
        <v>1865960509</v>
      </c>
      <c r="Q142" s="27">
        <f t="shared" si="123"/>
        <v>-99200000</v>
      </c>
      <c r="R142" s="27">
        <f t="shared" si="123"/>
        <v>702262879.5</v>
      </c>
      <c r="S142" s="27">
        <f t="shared" ref="S142" si="124">+S143+S146+S147</f>
        <v>6852184773</v>
      </c>
    </row>
    <row r="143" spans="1:19" x14ac:dyDescent="0.25">
      <c r="A143" s="96" t="s">
        <v>315</v>
      </c>
      <c r="B143" s="96"/>
      <c r="C143" s="33" t="s">
        <v>145</v>
      </c>
      <c r="D143" s="28" t="s">
        <v>15</v>
      </c>
      <c r="E143" s="103">
        <f>SUM(E144:E145)</f>
        <v>6491472500</v>
      </c>
      <c r="F143" s="27">
        <f t="shared" ref="F143:R143" si="125">SUM(F144:F145)</f>
        <v>6421472500</v>
      </c>
      <c r="G143" s="27">
        <f t="shared" si="125"/>
        <v>1598679546</v>
      </c>
      <c r="H143" s="27">
        <f t="shared" si="125"/>
        <v>0</v>
      </c>
      <c r="I143" s="27">
        <f t="shared" si="125"/>
        <v>4892792954</v>
      </c>
      <c r="J143" s="27">
        <f t="shared" si="125"/>
        <v>1618512627</v>
      </c>
      <c r="K143" s="27">
        <f t="shared" si="125"/>
        <v>0</v>
      </c>
      <c r="L143" s="27">
        <f t="shared" si="125"/>
        <v>3274280327</v>
      </c>
      <c r="M143" s="27">
        <f t="shared" si="125"/>
        <v>1571562750</v>
      </c>
      <c r="N143" s="27">
        <f t="shared" si="125"/>
        <v>0</v>
      </c>
      <c r="O143" s="27">
        <f t="shared" si="125"/>
        <v>1702717577</v>
      </c>
      <c r="P143" s="27">
        <f t="shared" si="125"/>
        <v>1031252630</v>
      </c>
      <c r="Q143" s="27">
        <f t="shared" si="125"/>
        <v>-70000000</v>
      </c>
      <c r="R143" s="27">
        <f t="shared" si="125"/>
        <v>601464947</v>
      </c>
      <c r="S143" s="27">
        <f t="shared" ref="S143" si="126">SUM(S144:S145)</f>
        <v>5820007553</v>
      </c>
    </row>
    <row r="144" spans="1:19" x14ac:dyDescent="0.25">
      <c r="A144" s="1" t="s">
        <v>318</v>
      </c>
      <c r="B144" s="1" t="s">
        <v>403</v>
      </c>
      <c r="C144" s="33" t="s">
        <v>146</v>
      </c>
      <c r="D144" s="201" t="s">
        <v>16</v>
      </c>
      <c r="E144" s="152">
        <f>5012800000*105%-100000000</f>
        <v>5163440000</v>
      </c>
      <c r="F144" s="152">
        <f>+E144+H144+K144+N144+Q144</f>
        <v>5093440000</v>
      </c>
      <c r="G144" s="152">
        <f>412622841+427667600+426672016</f>
        <v>1266962457</v>
      </c>
      <c r="H144" s="152"/>
      <c r="I144" s="152">
        <f>+E144-G144+H144</f>
        <v>3896477543</v>
      </c>
      <c r="J144" s="152">
        <f>12382387+422975418+426639531+423513962</f>
        <v>1285511298</v>
      </c>
      <c r="K144" s="152"/>
      <c r="L144" s="152">
        <f>+I144+K144-J144</f>
        <v>2610966245</v>
      </c>
      <c r="M144" s="152">
        <f>429770103+413161787+408823556</f>
        <v>1251755446</v>
      </c>
      <c r="N144" s="152"/>
      <c r="O144" s="152">
        <f>+L144+N144-M144</f>
        <v>1359210799</v>
      </c>
      <c r="P144" s="152">
        <f>409608422+405940585</f>
        <v>815549007</v>
      </c>
      <c r="Q144" s="152">
        <v>-70000000</v>
      </c>
      <c r="R144" s="223">
        <f>+O144+Q144-P144</f>
        <v>473661792</v>
      </c>
      <c r="S144" s="223">
        <f t="shared" ref="S144:S146" si="127">+F144-R144</f>
        <v>4619778208</v>
      </c>
    </row>
    <row r="145" spans="1:19" x14ac:dyDescent="0.25">
      <c r="A145" s="1" t="s">
        <v>318</v>
      </c>
      <c r="B145" s="1" t="s">
        <v>403</v>
      </c>
      <c r="C145" s="33" t="s">
        <v>147</v>
      </c>
      <c r="D145" s="30" t="s">
        <v>98</v>
      </c>
      <c r="E145" s="152">
        <f>1307650000*105%-45000000</f>
        <v>1328032500</v>
      </c>
      <c r="F145" s="152">
        <f>+E145+H145+K145+N145+Q145</f>
        <v>1328032500</v>
      </c>
      <c r="G145" s="152">
        <f>107163070+111343798+113210221</f>
        <v>331717089</v>
      </c>
      <c r="H145" s="152"/>
      <c r="I145" s="152">
        <f>+E145-G145+H145</f>
        <v>996315411</v>
      </c>
      <c r="J145" s="152">
        <f>3150646+109245955+112450350+108154378</f>
        <v>333001329</v>
      </c>
      <c r="K145" s="152"/>
      <c r="L145" s="152">
        <f>+I145+K145-J145</f>
        <v>663314082</v>
      </c>
      <c r="M145" s="152">
        <f>107989078+105877767+105940459</f>
        <v>319807304</v>
      </c>
      <c r="N145" s="152"/>
      <c r="O145" s="152">
        <f>+L145+N145-M145</f>
        <v>343506778</v>
      </c>
      <c r="P145" s="152">
        <f>112011100+103692523</f>
        <v>215703623</v>
      </c>
      <c r="Q145" s="152"/>
      <c r="R145" s="222">
        <f>+O145+Q145-P145</f>
        <v>127803155</v>
      </c>
      <c r="S145" s="222">
        <f t="shared" si="127"/>
        <v>1200229345</v>
      </c>
    </row>
    <row r="146" spans="1:19" x14ac:dyDescent="0.25">
      <c r="A146" s="1" t="s">
        <v>318</v>
      </c>
      <c r="B146" s="1" t="s">
        <v>403</v>
      </c>
      <c r="C146" s="33" t="s">
        <v>148</v>
      </c>
      <c r="D146" s="30" t="s">
        <v>18</v>
      </c>
      <c r="E146" s="152">
        <f>11250000*105%</f>
        <v>11812500</v>
      </c>
      <c r="F146" s="152">
        <f>+E146+H146+K146+N146+Q146</f>
        <v>24312500</v>
      </c>
      <c r="G146" s="152">
        <f>294390+303060+727344</f>
        <v>1324794</v>
      </c>
      <c r="H146" s="152"/>
      <c r="I146" s="152">
        <f>+E146-G146+H146</f>
        <v>10487706</v>
      </c>
      <c r="J146" s="152">
        <f>8670+4788348+2394174</f>
        <v>7191192</v>
      </c>
      <c r="K146" s="152"/>
      <c r="L146" s="152">
        <f>+I146+K146-J146</f>
        <v>3296514</v>
      </c>
      <c r="M146" s="152">
        <v>2242644</v>
      </c>
      <c r="N146" s="152">
        <v>12500000</v>
      </c>
      <c r="O146" s="152">
        <f>+L146+N146-M146</f>
        <v>13553870</v>
      </c>
      <c r="P146" s="152">
        <f>3000294+303060</f>
        <v>3303354</v>
      </c>
      <c r="Q146" s="152"/>
      <c r="R146" s="222">
        <f>+O146+Q146-P146</f>
        <v>10250516</v>
      </c>
      <c r="S146" s="222">
        <f t="shared" si="127"/>
        <v>14061984</v>
      </c>
    </row>
    <row r="147" spans="1:19" x14ac:dyDescent="0.25">
      <c r="A147" s="96" t="s">
        <v>315</v>
      </c>
      <c r="B147" s="96"/>
      <c r="C147" s="33" t="s">
        <v>149</v>
      </c>
      <c r="D147" s="28" t="s">
        <v>64</v>
      </c>
      <c r="E147" s="103">
        <f>SUM(E148:E156)</f>
        <v>1057862652.5</v>
      </c>
      <c r="F147" s="103">
        <f t="shared" ref="F147:R147" si="128">SUM(F148:F156)</f>
        <v>1108662652.5</v>
      </c>
      <c r="G147" s="103">
        <f t="shared" si="128"/>
        <v>11831677</v>
      </c>
      <c r="H147" s="103">
        <f t="shared" si="128"/>
        <v>0</v>
      </c>
      <c r="I147" s="103">
        <f>SUM(I148:I156)</f>
        <v>1046030975.5</v>
      </c>
      <c r="J147" s="103">
        <f t="shared" si="128"/>
        <v>144892697</v>
      </c>
      <c r="K147" s="103">
        <f t="shared" si="128"/>
        <v>-520000000</v>
      </c>
      <c r="L147" s="103">
        <f t="shared" si="128"/>
        <v>381138278.5</v>
      </c>
      <c r="M147" s="103">
        <f t="shared" si="128"/>
        <v>29986337</v>
      </c>
      <c r="N147" s="103">
        <f t="shared" si="128"/>
        <v>600000000</v>
      </c>
      <c r="O147" s="103">
        <f t="shared" si="128"/>
        <v>951151941.5</v>
      </c>
      <c r="P147" s="103">
        <f t="shared" si="128"/>
        <v>831404525</v>
      </c>
      <c r="Q147" s="103">
        <f t="shared" si="128"/>
        <v>-29200000</v>
      </c>
      <c r="R147" s="27">
        <f t="shared" si="128"/>
        <v>90547416.5</v>
      </c>
      <c r="S147" s="27">
        <f t="shared" ref="S147" si="129">SUM(S148:S156)</f>
        <v>1018115236</v>
      </c>
    </row>
    <row r="148" spans="1:19" x14ac:dyDescent="0.25">
      <c r="A148" s="1" t="s">
        <v>318</v>
      </c>
      <c r="B148" s="1" t="s">
        <v>403</v>
      </c>
      <c r="C148" s="33" t="s">
        <v>150</v>
      </c>
      <c r="D148" s="30" t="s">
        <v>22</v>
      </c>
      <c r="E148" s="152">
        <f>4900000*105%</f>
        <v>5145000</v>
      </c>
      <c r="F148" s="152">
        <f t="shared" ref="F148:F156" si="130">+E148+H148+K148+N148+Q148</f>
        <v>3945000</v>
      </c>
      <c r="G148" s="152">
        <f>211075+409238+408503</f>
        <v>1028816</v>
      </c>
      <c r="H148" s="152"/>
      <c r="I148" s="152">
        <f t="shared" ref="I148:I156" si="131">+E148-G148+H148</f>
        <v>4116184</v>
      </c>
      <c r="J148" s="152">
        <f>312651+264545+264950</f>
        <v>842146</v>
      </c>
      <c r="K148" s="152"/>
      <c r="L148" s="152">
        <f t="shared" ref="L148:L156" si="132">+I148+K148-J148</f>
        <v>3274038</v>
      </c>
      <c r="M148" s="152">
        <f>93690+311031+310041</f>
        <v>714762</v>
      </c>
      <c r="N148" s="152"/>
      <c r="O148" s="152">
        <f t="shared" ref="O148:O156" si="133">+L148+N148-M148</f>
        <v>2559276</v>
      </c>
      <c r="P148" s="152">
        <f>310086+310041</f>
        <v>620127</v>
      </c>
      <c r="Q148" s="152">
        <v>-1200000</v>
      </c>
      <c r="R148" s="227">
        <f t="shared" ref="R148:S156" si="134">+O148+Q148-P148</f>
        <v>739149</v>
      </c>
      <c r="S148" s="227">
        <f t="shared" ref="S148:S156" si="135">+F148-R148</f>
        <v>3205851</v>
      </c>
    </row>
    <row r="149" spans="1:19" x14ac:dyDescent="0.25">
      <c r="A149" s="1" t="s">
        <v>318</v>
      </c>
      <c r="B149" s="1" t="s">
        <v>403</v>
      </c>
      <c r="C149" s="33" t="s">
        <v>151</v>
      </c>
      <c r="D149" s="30" t="s">
        <v>23</v>
      </c>
      <c r="E149" s="152">
        <f>820000*105%</f>
        <v>861000</v>
      </c>
      <c r="F149" s="152">
        <f t="shared" si="130"/>
        <v>861000</v>
      </c>
      <c r="G149" s="152">
        <f>43200+72000+72000</f>
        <v>187200</v>
      </c>
      <c r="H149" s="152"/>
      <c r="I149" s="152">
        <f t="shared" si="131"/>
        <v>673800</v>
      </c>
      <c r="J149" s="152"/>
      <c r="K149" s="152"/>
      <c r="L149" s="152">
        <f t="shared" si="132"/>
        <v>673800</v>
      </c>
      <c r="M149" s="152"/>
      <c r="N149" s="152"/>
      <c r="O149" s="152">
        <f t="shared" si="133"/>
        <v>673800</v>
      </c>
      <c r="P149" s="152"/>
      <c r="Q149" s="152"/>
      <c r="R149" s="222">
        <f t="shared" si="134"/>
        <v>673800</v>
      </c>
      <c r="S149" s="222">
        <f t="shared" si="135"/>
        <v>187200</v>
      </c>
    </row>
    <row r="150" spans="1:19" x14ac:dyDescent="0.25">
      <c r="A150" s="1" t="s">
        <v>318</v>
      </c>
      <c r="B150" s="1" t="s">
        <v>403</v>
      </c>
      <c r="C150" s="33" t="s">
        <v>152</v>
      </c>
      <c r="D150" s="30" t="s">
        <v>25</v>
      </c>
      <c r="E150" s="152">
        <f>256200000*105%</f>
        <v>269010000</v>
      </c>
      <c r="F150" s="152">
        <f t="shared" si="130"/>
        <v>269010000</v>
      </c>
      <c r="G150" s="152"/>
      <c r="H150" s="152"/>
      <c r="I150" s="152">
        <f t="shared" si="131"/>
        <v>269010000</v>
      </c>
      <c r="J150" s="152"/>
      <c r="K150" s="152"/>
      <c r="L150" s="152">
        <f t="shared" si="132"/>
        <v>269010000</v>
      </c>
      <c r="M150" s="152"/>
      <c r="N150" s="152"/>
      <c r="O150" s="152">
        <f t="shared" si="133"/>
        <v>269010000</v>
      </c>
      <c r="P150" s="152">
        <v>259848345</v>
      </c>
      <c r="Q150" s="152"/>
      <c r="R150" s="222">
        <f t="shared" si="134"/>
        <v>9161655</v>
      </c>
      <c r="S150" s="222">
        <f t="shared" si="135"/>
        <v>259848345</v>
      </c>
    </row>
    <row r="151" spans="1:19" x14ac:dyDescent="0.25">
      <c r="A151" s="1" t="s">
        <v>318</v>
      </c>
      <c r="B151" s="1" t="s">
        <v>405</v>
      </c>
      <c r="C151" s="33" t="s">
        <v>153</v>
      </c>
      <c r="D151" s="30" t="s">
        <v>303</v>
      </c>
      <c r="E151" s="152">
        <v>145000000</v>
      </c>
      <c r="F151" s="152">
        <f t="shared" si="130"/>
        <v>135000000</v>
      </c>
      <c r="G151" s="152"/>
      <c r="H151" s="152"/>
      <c r="I151" s="152">
        <f t="shared" si="131"/>
        <v>145000000</v>
      </c>
      <c r="J151" s="152">
        <f>2935423+123132977</f>
        <v>126068400</v>
      </c>
      <c r="K151" s="152"/>
      <c r="L151" s="152">
        <f t="shared" si="132"/>
        <v>18931600</v>
      </c>
      <c r="M151" s="152">
        <f>269100+330079+1008814</f>
        <v>1607993</v>
      </c>
      <c r="N151" s="152"/>
      <c r="O151" s="152">
        <f t="shared" si="133"/>
        <v>17323607</v>
      </c>
      <c r="P151" s="152">
        <v>404983</v>
      </c>
      <c r="Q151" s="152">
        <v>-10000000</v>
      </c>
      <c r="R151" s="223">
        <f t="shared" si="134"/>
        <v>6918624</v>
      </c>
      <c r="S151" s="223">
        <f t="shared" si="135"/>
        <v>128081376</v>
      </c>
    </row>
    <row r="152" spans="1:19" x14ac:dyDescent="0.25">
      <c r="A152" s="1" t="s">
        <v>318</v>
      </c>
      <c r="B152" s="1" t="s">
        <v>405</v>
      </c>
      <c r="C152" s="33" t="s">
        <v>154</v>
      </c>
      <c r="D152" s="30" t="s">
        <v>26</v>
      </c>
      <c r="E152" s="152">
        <f>552300000*105%</f>
        <v>579915000</v>
      </c>
      <c r="F152" s="152">
        <f t="shared" si="130"/>
        <v>629915000</v>
      </c>
      <c r="G152" s="152">
        <f>379766+403115</f>
        <v>782881</v>
      </c>
      <c r="H152" s="152"/>
      <c r="I152" s="152">
        <f t="shared" si="131"/>
        <v>579132119</v>
      </c>
      <c r="J152" s="152">
        <f>973520+4494870+1130162</f>
        <v>6598552</v>
      </c>
      <c r="K152" s="152">
        <f>-570000000+50000000</f>
        <v>-520000000</v>
      </c>
      <c r="L152" s="152">
        <f t="shared" si="132"/>
        <v>52533567</v>
      </c>
      <c r="M152" s="152">
        <f>5294796+450306</f>
        <v>5745102</v>
      </c>
      <c r="N152" s="152">
        <v>570000000</v>
      </c>
      <c r="O152" s="152">
        <f t="shared" si="133"/>
        <v>616788465</v>
      </c>
      <c r="P152" s="152">
        <f>10870259+2896015+541487297</f>
        <v>555253571</v>
      </c>
      <c r="Q152" s="152"/>
      <c r="R152" s="222">
        <f t="shared" si="134"/>
        <v>61534894</v>
      </c>
      <c r="S152" s="222">
        <f t="shared" si="135"/>
        <v>568380106</v>
      </c>
    </row>
    <row r="153" spans="1:19" x14ac:dyDescent="0.25">
      <c r="A153" s="1" t="s">
        <v>318</v>
      </c>
      <c r="B153" s="1" t="s">
        <v>403</v>
      </c>
      <c r="C153" s="33" t="s">
        <v>155</v>
      </c>
      <c r="D153" s="30" t="s">
        <v>107</v>
      </c>
      <c r="E153" s="152">
        <v>1000</v>
      </c>
      <c r="F153" s="152">
        <f t="shared" si="130"/>
        <v>1000</v>
      </c>
      <c r="G153" s="152"/>
      <c r="H153" s="152"/>
      <c r="I153" s="152">
        <f t="shared" si="131"/>
        <v>1000</v>
      </c>
      <c r="J153" s="152"/>
      <c r="K153" s="152"/>
      <c r="L153" s="152">
        <f t="shared" si="132"/>
        <v>1000</v>
      </c>
      <c r="M153" s="152"/>
      <c r="N153" s="152"/>
      <c r="O153" s="152">
        <f t="shared" si="133"/>
        <v>1000</v>
      </c>
      <c r="P153" s="152"/>
      <c r="Q153" s="152"/>
      <c r="R153" s="222">
        <f t="shared" si="134"/>
        <v>1000</v>
      </c>
      <c r="S153" s="222">
        <f t="shared" si="135"/>
        <v>0</v>
      </c>
    </row>
    <row r="154" spans="1:19" ht="22.5" x14ac:dyDescent="0.25">
      <c r="A154" s="1" t="s">
        <v>318</v>
      </c>
      <c r="B154" s="1" t="s">
        <v>403</v>
      </c>
      <c r="C154" s="33" t="s">
        <v>156</v>
      </c>
      <c r="D154" s="30" t="s">
        <v>109</v>
      </c>
      <c r="E154" s="152">
        <f>22050*105%</f>
        <v>23152.5</v>
      </c>
      <c r="F154" s="152">
        <f t="shared" si="130"/>
        <v>23152.5</v>
      </c>
      <c r="G154" s="152">
        <f>1080+1800+1700</f>
        <v>4580</v>
      </c>
      <c r="H154" s="152"/>
      <c r="I154" s="152">
        <f t="shared" si="131"/>
        <v>18572.5</v>
      </c>
      <c r="J154" s="152">
        <f>1650+1620+1565</f>
        <v>4835</v>
      </c>
      <c r="K154" s="152"/>
      <c r="L154" s="152">
        <f t="shared" si="132"/>
        <v>13737.5</v>
      </c>
      <c r="M154" s="152">
        <f>450+1350+1200</f>
        <v>3000</v>
      </c>
      <c r="N154" s="152"/>
      <c r="O154" s="152">
        <f t="shared" si="133"/>
        <v>10737.5</v>
      </c>
      <c r="P154" s="152">
        <f>1125+1350</f>
        <v>2475</v>
      </c>
      <c r="Q154" s="152"/>
      <c r="R154" s="222">
        <f t="shared" si="134"/>
        <v>8262.5</v>
      </c>
      <c r="S154" s="222">
        <f t="shared" si="135"/>
        <v>14890</v>
      </c>
    </row>
    <row r="155" spans="1:19" ht="22.5" x14ac:dyDescent="0.25">
      <c r="A155" s="1" t="s">
        <v>318</v>
      </c>
      <c r="B155" s="1" t="s">
        <v>403</v>
      </c>
      <c r="C155" s="33" t="s">
        <v>302</v>
      </c>
      <c r="D155" s="30" t="s">
        <v>111</v>
      </c>
      <c r="E155" s="152">
        <f>55150000*105%</f>
        <v>57907500</v>
      </c>
      <c r="F155" s="152">
        <f t="shared" si="130"/>
        <v>42907500</v>
      </c>
      <c r="G155" s="152">
        <f>2476812+4229539+3121849</f>
        <v>9828200</v>
      </c>
      <c r="H155" s="152"/>
      <c r="I155" s="152">
        <f t="shared" si="131"/>
        <v>48079300</v>
      </c>
      <c r="J155" s="152">
        <f>53837+3013530+3175985+5135412</f>
        <v>11378764</v>
      </c>
      <c r="K155" s="152"/>
      <c r="L155" s="152">
        <f t="shared" si="132"/>
        <v>36700536</v>
      </c>
      <c r="M155" s="152">
        <f>1305240+3816199+3214770</f>
        <v>8336209</v>
      </c>
      <c r="N155" s="152"/>
      <c r="O155" s="152">
        <f t="shared" si="133"/>
        <v>28364327</v>
      </c>
      <c r="P155" s="152">
        <f>3301403+3854359</f>
        <v>7155762</v>
      </c>
      <c r="Q155" s="152">
        <v>-15000000</v>
      </c>
      <c r="R155" s="227">
        <f t="shared" si="134"/>
        <v>6208565</v>
      </c>
      <c r="S155" s="227">
        <f t="shared" si="135"/>
        <v>36698935</v>
      </c>
    </row>
    <row r="156" spans="1:19" ht="22.5" x14ac:dyDescent="0.25">
      <c r="A156" s="1" t="s">
        <v>318</v>
      </c>
      <c r="B156" s="1" t="s">
        <v>403</v>
      </c>
      <c r="C156" s="33" t="s">
        <v>412</v>
      </c>
      <c r="D156" s="30" t="s">
        <v>402</v>
      </c>
      <c r="E156" s="152">
        <v>0</v>
      </c>
      <c r="F156" s="152">
        <f t="shared" si="130"/>
        <v>27000000</v>
      </c>
      <c r="G156" s="152"/>
      <c r="H156" s="152"/>
      <c r="I156" s="152">
        <f t="shared" si="131"/>
        <v>0</v>
      </c>
      <c r="J156" s="152"/>
      <c r="K156" s="152"/>
      <c r="L156" s="152">
        <f t="shared" si="132"/>
        <v>0</v>
      </c>
      <c r="M156" s="152">
        <v>13579271</v>
      </c>
      <c r="N156" s="152">
        <v>30000000</v>
      </c>
      <c r="O156" s="152">
        <f t="shared" si="133"/>
        <v>16420729</v>
      </c>
      <c r="P156" s="152">
        <f>4077282+4041980</f>
        <v>8119262</v>
      </c>
      <c r="Q156" s="152">
        <v>-3000000</v>
      </c>
      <c r="R156" s="223">
        <f t="shared" si="134"/>
        <v>5301467</v>
      </c>
      <c r="S156" s="223">
        <f t="shared" si="135"/>
        <v>21698533</v>
      </c>
    </row>
    <row r="157" spans="1:19" ht="22.5" x14ac:dyDescent="0.25">
      <c r="A157" s="96" t="s">
        <v>315</v>
      </c>
      <c r="B157" s="96"/>
      <c r="C157" s="34" t="s">
        <v>157</v>
      </c>
      <c r="D157" s="28" t="s">
        <v>113</v>
      </c>
      <c r="E157" s="103">
        <f>+E158+E160+E165+E167+E169+E172+E174</f>
        <v>2058468000</v>
      </c>
      <c r="F157" s="27">
        <f t="shared" ref="F157:R157" si="136">+F158+F160+F165+F167+F169+F172+F174</f>
        <v>1854768000</v>
      </c>
      <c r="G157" s="27">
        <f t="shared" si="136"/>
        <v>414399368</v>
      </c>
      <c r="H157" s="27">
        <f t="shared" si="136"/>
        <v>0</v>
      </c>
      <c r="I157" s="27">
        <f t="shared" si="136"/>
        <v>1644068632</v>
      </c>
      <c r="J157" s="27">
        <f t="shared" si="136"/>
        <v>455744192</v>
      </c>
      <c r="K157" s="27">
        <f t="shared" si="136"/>
        <v>0</v>
      </c>
      <c r="L157" s="27">
        <f t="shared" si="136"/>
        <v>1188324440</v>
      </c>
      <c r="M157" s="27">
        <f t="shared" si="136"/>
        <v>418030388</v>
      </c>
      <c r="N157" s="27">
        <f t="shared" si="136"/>
        <v>0</v>
      </c>
      <c r="O157" s="27">
        <f t="shared" si="136"/>
        <v>770294052</v>
      </c>
      <c r="P157" s="27">
        <f t="shared" si="136"/>
        <v>276255645</v>
      </c>
      <c r="Q157" s="27">
        <f t="shared" si="136"/>
        <v>-203700000</v>
      </c>
      <c r="R157" s="27">
        <f t="shared" si="136"/>
        <v>290338407</v>
      </c>
      <c r="S157" s="27">
        <f t="shared" ref="S157" si="137">+S158+S160+S165+S167+S169+S172+S174</f>
        <v>1564429593</v>
      </c>
    </row>
    <row r="158" spans="1:19" ht="22.5" x14ac:dyDescent="0.25">
      <c r="A158" s="96" t="s">
        <v>315</v>
      </c>
      <c r="B158" s="96"/>
      <c r="C158" s="34" t="s">
        <v>158</v>
      </c>
      <c r="D158" s="28" t="s">
        <v>30</v>
      </c>
      <c r="E158" s="103">
        <f>+E159</f>
        <v>264075000</v>
      </c>
      <c r="F158" s="27">
        <f t="shared" ref="F158:S158" si="138">+F159</f>
        <v>267075000</v>
      </c>
      <c r="G158" s="27">
        <f t="shared" si="138"/>
        <v>64379280</v>
      </c>
      <c r="H158" s="27">
        <f t="shared" si="138"/>
        <v>0</v>
      </c>
      <c r="I158" s="27">
        <f t="shared" si="138"/>
        <v>199695720</v>
      </c>
      <c r="J158" s="27">
        <f t="shared" si="138"/>
        <v>70679196</v>
      </c>
      <c r="K158" s="27">
        <f t="shared" si="138"/>
        <v>0</v>
      </c>
      <c r="L158" s="27">
        <f t="shared" si="138"/>
        <v>129016524</v>
      </c>
      <c r="M158" s="27">
        <f t="shared" si="138"/>
        <v>64304100</v>
      </c>
      <c r="N158" s="27">
        <f t="shared" si="138"/>
        <v>0</v>
      </c>
      <c r="O158" s="27">
        <f t="shared" si="138"/>
        <v>64712424</v>
      </c>
      <c r="P158" s="27">
        <f t="shared" si="138"/>
        <v>42654880</v>
      </c>
      <c r="Q158" s="27">
        <f t="shared" si="138"/>
        <v>3000000</v>
      </c>
      <c r="R158" s="27">
        <f t="shared" si="138"/>
        <v>25057544</v>
      </c>
      <c r="S158" s="27">
        <f t="shared" si="138"/>
        <v>242017456</v>
      </c>
    </row>
    <row r="159" spans="1:19" x14ac:dyDescent="0.25">
      <c r="A159" s="1" t="s">
        <v>318</v>
      </c>
      <c r="B159" s="1" t="s">
        <v>403</v>
      </c>
      <c r="C159" s="33" t="s">
        <v>159</v>
      </c>
      <c r="D159" s="30" t="s">
        <v>31</v>
      </c>
      <c r="E159" s="152">
        <f>251500000*105%</f>
        <v>264075000</v>
      </c>
      <c r="F159" s="152">
        <f>+E159+H159+K159+N159+Q159</f>
        <v>267075000</v>
      </c>
      <c r="G159" s="152">
        <f>20924780+21763100+21691400</f>
        <v>64379280</v>
      </c>
      <c r="H159" s="152"/>
      <c r="I159" s="152">
        <f>+E159-G159+H159</f>
        <v>199695720</v>
      </c>
      <c r="J159" s="152">
        <f>628296+21426888+191712+21892400+26539900</f>
        <v>70679196</v>
      </c>
      <c r="K159" s="152"/>
      <c r="L159" s="152">
        <f>+I159+K159-J159</f>
        <v>129016524</v>
      </c>
      <c r="M159" s="152">
        <f>21663800+13700+21160300+8900+21457400</f>
        <v>64304100</v>
      </c>
      <c r="N159" s="152"/>
      <c r="O159" s="152">
        <f>+L159+N159-M159</f>
        <v>64712424</v>
      </c>
      <c r="P159" s="152">
        <f>21676180+20978700</f>
        <v>42654880</v>
      </c>
      <c r="Q159" s="152">
        <f>1000000+2000000</f>
        <v>3000000</v>
      </c>
      <c r="R159" s="224">
        <f>+O159+Q159-P159</f>
        <v>25057544</v>
      </c>
      <c r="S159" s="224">
        <f>+F159-R159</f>
        <v>242017456</v>
      </c>
    </row>
    <row r="160" spans="1:19" ht="22.5" x14ac:dyDescent="0.25">
      <c r="A160" s="96" t="s">
        <v>315</v>
      </c>
      <c r="B160" s="96"/>
      <c r="C160" s="34" t="s">
        <v>160</v>
      </c>
      <c r="D160" s="28" t="s">
        <v>36</v>
      </c>
      <c r="E160" s="103">
        <f>SUM(E161:E164)</f>
        <v>331275000</v>
      </c>
      <c r="F160" s="27">
        <f t="shared" ref="F160:R160" si="139">SUM(F161:F164)</f>
        <v>333075000</v>
      </c>
      <c r="G160" s="27">
        <f t="shared" si="139"/>
        <v>80463880</v>
      </c>
      <c r="H160" s="27">
        <f t="shared" si="139"/>
        <v>0</v>
      </c>
      <c r="I160" s="27">
        <f t="shared" si="139"/>
        <v>250811120</v>
      </c>
      <c r="J160" s="27">
        <f t="shared" si="139"/>
        <v>88328724</v>
      </c>
      <c r="K160" s="27">
        <f t="shared" si="139"/>
        <v>0</v>
      </c>
      <c r="L160" s="27">
        <f t="shared" si="139"/>
        <v>162482396</v>
      </c>
      <c r="M160" s="27">
        <f t="shared" si="139"/>
        <v>80385400</v>
      </c>
      <c r="N160" s="27">
        <f t="shared" si="139"/>
        <v>0</v>
      </c>
      <c r="O160" s="27">
        <f t="shared" si="139"/>
        <v>82096996</v>
      </c>
      <c r="P160" s="27">
        <f t="shared" si="139"/>
        <v>53303300</v>
      </c>
      <c r="Q160" s="27">
        <f t="shared" si="139"/>
        <v>1800000</v>
      </c>
      <c r="R160" s="27">
        <f t="shared" si="139"/>
        <v>30593696</v>
      </c>
      <c r="S160" s="27">
        <f t="shared" ref="S160" si="140">SUM(S161:S164)</f>
        <v>302481304</v>
      </c>
    </row>
    <row r="161" spans="1:19" ht="22.5" x14ac:dyDescent="0.25">
      <c r="A161" s="1" t="s">
        <v>318</v>
      </c>
      <c r="B161" s="1" t="s">
        <v>403</v>
      </c>
      <c r="C161" s="33" t="s">
        <v>161</v>
      </c>
      <c r="D161" s="30" t="s">
        <v>37</v>
      </c>
      <c r="E161" s="152">
        <f>31950000*105%</f>
        <v>33547500</v>
      </c>
      <c r="F161" s="152">
        <f>+E161+H161+K161+N161+Q161</f>
        <v>33547500</v>
      </c>
      <c r="G161" s="152">
        <f>2615400+2722500+2713300</f>
        <v>8051200</v>
      </c>
      <c r="H161" s="152"/>
      <c r="I161" s="152">
        <f>+E161-G161+H161</f>
        <v>25496300</v>
      </c>
      <c r="J161" s="152">
        <f>80664+2680536+23964+2738700+3318500</f>
        <v>8842364</v>
      </c>
      <c r="K161" s="152"/>
      <c r="L161" s="152">
        <f>+I161+K161-J161</f>
        <v>16653936</v>
      </c>
      <c r="M161" s="152">
        <f>2708600+1700+2647000+1100+2674600</f>
        <v>8033000</v>
      </c>
      <c r="N161" s="152"/>
      <c r="O161" s="152">
        <f>+L161+N161-M161</f>
        <v>8620936</v>
      </c>
      <c r="P161" s="152">
        <f>2705210+2618200</f>
        <v>5323410</v>
      </c>
      <c r="Q161" s="152"/>
      <c r="R161" s="222">
        <f>+O161+Q161-P161</f>
        <v>3297526</v>
      </c>
      <c r="S161" s="222">
        <f t="shared" ref="S161:S164" si="141">+F161-R161</f>
        <v>30249974</v>
      </c>
    </row>
    <row r="162" spans="1:19" ht="22.5" x14ac:dyDescent="0.25">
      <c r="A162" s="1" t="s">
        <v>318</v>
      </c>
      <c r="B162" s="1" t="s">
        <v>403</v>
      </c>
      <c r="C162" s="33" t="s">
        <v>162</v>
      </c>
      <c r="D162" s="30" t="s">
        <v>38</v>
      </c>
      <c r="E162" s="152">
        <f>188900000*105%</f>
        <v>198345000</v>
      </c>
      <c r="F162" s="152">
        <f>+E162+H162+K162+N162+Q162</f>
        <v>199345000</v>
      </c>
      <c r="G162" s="152">
        <f>15694560+16317600+16264000</f>
        <v>48276160</v>
      </c>
      <c r="H162" s="152"/>
      <c r="I162" s="152">
        <f>+E162-G162+H162</f>
        <v>150068840</v>
      </c>
      <c r="J162" s="152">
        <f>465472+16065416+143784+16414600+19900200</f>
        <v>52989472</v>
      </c>
      <c r="K162" s="152"/>
      <c r="L162" s="152">
        <f>+I162+K162-J162</f>
        <v>97079368</v>
      </c>
      <c r="M162" s="152">
        <f>16247600+10300+15865400+6700+16108200</f>
        <v>48238200</v>
      </c>
      <c r="N162" s="152"/>
      <c r="O162" s="152">
        <f>+L162+N162-M162</f>
        <v>48841168</v>
      </c>
      <c r="P162" s="152">
        <f>16255460+15732400</f>
        <v>31987860</v>
      </c>
      <c r="Q162" s="152">
        <v>1000000</v>
      </c>
      <c r="R162" s="221">
        <f>+O162+Q162-P162</f>
        <v>17853308</v>
      </c>
      <c r="S162" s="221">
        <f t="shared" si="141"/>
        <v>181491692</v>
      </c>
    </row>
    <row r="163" spans="1:19" ht="22.5" x14ac:dyDescent="0.25">
      <c r="A163" s="1" t="s">
        <v>318</v>
      </c>
      <c r="B163" s="1" t="s">
        <v>403</v>
      </c>
      <c r="C163" s="33" t="s">
        <v>163</v>
      </c>
      <c r="D163" s="30" t="s">
        <v>39</v>
      </c>
      <c r="E163" s="152">
        <f>62900000*105%</f>
        <v>66045000</v>
      </c>
      <c r="F163" s="152">
        <f>+E163+H163+K163+N163+Q163</f>
        <v>66345000</v>
      </c>
      <c r="G163" s="152">
        <f>5229720+5436700+5418900</f>
        <v>16085320</v>
      </c>
      <c r="H163" s="152"/>
      <c r="I163" s="152">
        <f>+E163-G163+H163</f>
        <v>49959680</v>
      </c>
      <c r="J163" s="152">
        <f>154624+5352572+47928+5469200+6630200</f>
        <v>17654524</v>
      </c>
      <c r="K163" s="152"/>
      <c r="L163" s="152">
        <f>+I163+K163-J163</f>
        <v>32305156</v>
      </c>
      <c r="M163" s="152">
        <f>5415700+3600+5286100+2300+5373500</f>
        <v>16081200</v>
      </c>
      <c r="N163" s="152"/>
      <c r="O163" s="152">
        <f>+L163+N163-M163</f>
        <v>16223956</v>
      </c>
      <c r="P163" s="152">
        <f>5421520+5247100</f>
        <v>10668620</v>
      </c>
      <c r="Q163" s="152">
        <v>300000</v>
      </c>
      <c r="R163" s="221">
        <f>+O163+Q163-P163</f>
        <v>5855336</v>
      </c>
      <c r="S163" s="221">
        <f t="shared" si="141"/>
        <v>60489664</v>
      </c>
    </row>
    <row r="164" spans="1:19" ht="22.5" x14ac:dyDescent="0.25">
      <c r="A164" s="1" t="s">
        <v>318</v>
      </c>
      <c r="B164" s="1" t="s">
        <v>403</v>
      </c>
      <c r="C164" s="33" t="s">
        <v>164</v>
      </c>
      <c r="D164" s="30" t="s">
        <v>40</v>
      </c>
      <c r="E164" s="152">
        <f>31750000*105%</f>
        <v>33337500</v>
      </c>
      <c r="F164" s="152">
        <f>+E164+H164+K164+N164+Q164</f>
        <v>33837500</v>
      </c>
      <c r="G164" s="152">
        <f>2615400+2722500+2713300</f>
        <v>8051200</v>
      </c>
      <c r="H164" s="152"/>
      <c r="I164" s="152">
        <f>+E164-G164+H164</f>
        <v>25286300</v>
      </c>
      <c r="J164" s="152">
        <f>80664+2680536+23964+2738700+3318500</f>
        <v>8842364</v>
      </c>
      <c r="K164" s="152"/>
      <c r="L164" s="152">
        <f>+I164+K164-J164</f>
        <v>16443936</v>
      </c>
      <c r="M164" s="152">
        <f>2708600+1700+2647000+1100+2674600</f>
        <v>8033000</v>
      </c>
      <c r="N164" s="152"/>
      <c r="O164" s="152">
        <f>+L164+N164-M164</f>
        <v>8410936</v>
      </c>
      <c r="P164" s="152">
        <f>2705210+2618200</f>
        <v>5323410</v>
      </c>
      <c r="Q164" s="152">
        <v>500000</v>
      </c>
      <c r="R164" s="221">
        <f>+O164+Q164-P164</f>
        <v>3587526</v>
      </c>
      <c r="S164" s="221">
        <f t="shared" si="141"/>
        <v>30249974</v>
      </c>
    </row>
    <row r="165" spans="1:19" x14ac:dyDescent="0.25">
      <c r="A165" s="96" t="s">
        <v>315</v>
      </c>
      <c r="B165" s="96"/>
      <c r="C165" s="34" t="s">
        <v>165</v>
      </c>
      <c r="D165" s="28" t="s">
        <v>122</v>
      </c>
      <c r="E165" s="103">
        <f>+E166</f>
        <v>210000000</v>
      </c>
      <c r="F165" s="27">
        <f t="shared" ref="F165:S165" si="142">+F166</f>
        <v>6000000</v>
      </c>
      <c r="G165" s="27">
        <f t="shared" si="142"/>
        <v>0</v>
      </c>
      <c r="H165" s="27">
        <f t="shared" si="142"/>
        <v>0</v>
      </c>
      <c r="I165" s="27">
        <f t="shared" si="142"/>
        <v>210000000</v>
      </c>
      <c r="J165" s="27">
        <f t="shared" si="142"/>
        <v>4792802</v>
      </c>
      <c r="K165" s="27">
        <f t="shared" si="142"/>
        <v>0</v>
      </c>
      <c r="L165" s="27">
        <f t="shared" si="142"/>
        <v>205207198</v>
      </c>
      <c r="M165" s="27">
        <f t="shared" si="142"/>
        <v>690056</v>
      </c>
      <c r="N165" s="27">
        <f t="shared" si="142"/>
        <v>0</v>
      </c>
      <c r="O165" s="27">
        <f t="shared" si="142"/>
        <v>204517142</v>
      </c>
      <c r="P165" s="27">
        <f t="shared" si="142"/>
        <v>0</v>
      </c>
      <c r="Q165" s="27">
        <f t="shared" si="142"/>
        <v>-204000000</v>
      </c>
      <c r="R165" s="27">
        <f t="shared" si="142"/>
        <v>517142</v>
      </c>
      <c r="S165" s="27">
        <f t="shared" si="142"/>
        <v>5482858</v>
      </c>
    </row>
    <row r="166" spans="1:19" ht="22.5" x14ac:dyDescent="0.25">
      <c r="A166" s="1" t="s">
        <v>318</v>
      </c>
      <c r="B166" s="1" t="s">
        <v>403</v>
      </c>
      <c r="C166" s="33" t="s">
        <v>166</v>
      </c>
      <c r="D166" s="30" t="s">
        <v>167</v>
      </c>
      <c r="E166" s="152">
        <v>210000000</v>
      </c>
      <c r="F166" s="152">
        <f>+E166+H166+K166+N166+Q166</f>
        <v>6000000</v>
      </c>
      <c r="G166" s="152"/>
      <c r="H166" s="152"/>
      <c r="I166" s="152">
        <f>+E166-G166+H166</f>
        <v>210000000</v>
      </c>
      <c r="J166" s="152">
        <v>4792802</v>
      </c>
      <c r="K166" s="152"/>
      <c r="L166" s="152">
        <f>+I166+K166-J166</f>
        <v>205207198</v>
      </c>
      <c r="M166" s="152">
        <f>439123+250933</f>
        <v>690056</v>
      </c>
      <c r="N166" s="152"/>
      <c r="O166" s="152">
        <f>+L166+N166-M166</f>
        <v>204517142</v>
      </c>
      <c r="P166" s="152"/>
      <c r="Q166" s="152">
        <v>-204000000</v>
      </c>
      <c r="R166" s="223">
        <f>+O166+Q166-P166</f>
        <v>517142</v>
      </c>
      <c r="S166" s="223">
        <f>+F166-R166</f>
        <v>5482858</v>
      </c>
    </row>
    <row r="167" spans="1:19" x14ac:dyDescent="0.25">
      <c r="A167" s="96" t="s">
        <v>315</v>
      </c>
      <c r="B167" s="96"/>
      <c r="C167" s="34" t="s">
        <v>168</v>
      </c>
      <c r="D167" s="28" t="s">
        <v>126</v>
      </c>
      <c r="E167" s="103">
        <f>+E168</f>
        <v>7000000</v>
      </c>
      <c r="F167" s="27">
        <f t="shared" ref="F167:S167" si="143">+F168</f>
        <v>7000000</v>
      </c>
      <c r="G167" s="27">
        <f t="shared" si="143"/>
        <v>0</v>
      </c>
      <c r="H167" s="27">
        <f t="shared" si="143"/>
        <v>0</v>
      </c>
      <c r="I167" s="27">
        <f t="shared" si="143"/>
        <v>7000000</v>
      </c>
      <c r="J167" s="27">
        <f t="shared" si="143"/>
        <v>0</v>
      </c>
      <c r="K167" s="27">
        <f t="shared" si="143"/>
        <v>0</v>
      </c>
      <c r="L167" s="27">
        <f t="shared" si="143"/>
        <v>7000000</v>
      </c>
      <c r="M167" s="27">
        <f t="shared" si="143"/>
        <v>0</v>
      </c>
      <c r="N167" s="27">
        <f t="shared" si="143"/>
        <v>0</v>
      </c>
      <c r="O167" s="27">
        <f t="shared" si="143"/>
        <v>7000000</v>
      </c>
      <c r="P167" s="27">
        <f t="shared" si="143"/>
        <v>0</v>
      </c>
      <c r="Q167" s="27">
        <f t="shared" si="143"/>
        <v>0</v>
      </c>
      <c r="R167" s="27">
        <f t="shared" si="143"/>
        <v>7000000</v>
      </c>
      <c r="S167" s="27">
        <f t="shared" si="143"/>
        <v>0</v>
      </c>
    </row>
    <row r="168" spans="1:19" x14ac:dyDescent="0.25">
      <c r="A168" s="1" t="s">
        <v>318</v>
      </c>
      <c r="B168" s="1" t="s">
        <v>403</v>
      </c>
      <c r="C168" s="33" t="s">
        <v>169</v>
      </c>
      <c r="D168" s="30" t="s">
        <v>128</v>
      </c>
      <c r="E168" s="152">
        <v>7000000</v>
      </c>
      <c r="F168" s="152">
        <f>+E168+H168+K168+N168+Q168</f>
        <v>7000000</v>
      </c>
      <c r="G168" s="152"/>
      <c r="H168" s="152"/>
      <c r="I168" s="152">
        <f>+E168-G168+H168</f>
        <v>7000000</v>
      </c>
      <c r="J168" s="152"/>
      <c r="K168" s="152"/>
      <c r="L168" s="152">
        <f>+I168+K168-J168</f>
        <v>7000000</v>
      </c>
      <c r="M168" s="152"/>
      <c r="N168" s="152"/>
      <c r="O168" s="152">
        <f>+L168+N168-M168</f>
        <v>7000000</v>
      </c>
      <c r="P168" s="152"/>
      <c r="Q168" s="152"/>
      <c r="R168" s="222">
        <f>+O168+Q168-P168</f>
        <v>7000000</v>
      </c>
      <c r="S168" s="222">
        <f>+F168-R168</f>
        <v>0</v>
      </c>
    </row>
    <row r="169" spans="1:19" x14ac:dyDescent="0.25">
      <c r="A169" s="96" t="s">
        <v>315</v>
      </c>
      <c r="B169" s="96"/>
      <c r="C169" s="34" t="s">
        <v>170</v>
      </c>
      <c r="D169" s="28" t="s">
        <v>41</v>
      </c>
      <c r="E169" s="103">
        <f>+E170+E171</f>
        <v>26117000</v>
      </c>
      <c r="F169" s="27">
        <f t="shared" ref="F169:R169" si="144">+F170+F171</f>
        <v>21617000</v>
      </c>
      <c r="G169" s="27">
        <f t="shared" si="144"/>
        <v>0</v>
      </c>
      <c r="H169" s="27">
        <f t="shared" si="144"/>
        <v>0</v>
      </c>
      <c r="I169" s="27">
        <f t="shared" si="144"/>
        <v>26117000</v>
      </c>
      <c r="J169" s="27">
        <f t="shared" si="144"/>
        <v>6393682</v>
      </c>
      <c r="K169" s="27">
        <f t="shared" si="144"/>
        <v>0</v>
      </c>
      <c r="L169" s="27">
        <f t="shared" si="144"/>
        <v>19723318</v>
      </c>
      <c r="M169" s="27">
        <f t="shared" si="144"/>
        <v>2895488</v>
      </c>
      <c r="N169" s="27">
        <f t="shared" si="144"/>
        <v>0</v>
      </c>
      <c r="O169" s="27">
        <f t="shared" si="144"/>
        <v>16827830</v>
      </c>
      <c r="P169" s="27">
        <f t="shared" si="144"/>
        <v>1754635</v>
      </c>
      <c r="Q169" s="27">
        <f t="shared" si="144"/>
        <v>-4500000</v>
      </c>
      <c r="R169" s="27">
        <f t="shared" si="144"/>
        <v>10573195</v>
      </c>
      <c r="S169" s="27">
        <f t="shared" ref="S169" si="145">+S170+S171</f>
        <v>11043805</v>
      </c>
    </row>
    <row r="170" spans="1:19" x14ac:dyDescent="0.25">
      <c r="A170" s="1" t="s">
        <v>318</v>
      </c>
      <c r="B170" s="1" t="s">
        <v>403</v>
      </c>
      <c r="C170" s="33" t="s">
        <v>171</v>
      </c>
      <c r="D170" s="30" t="s">
        <v>172</v>
      </c>
      <c r="E170" s="152">
        <f>5250000*105%</f>
        <v>5512500</v>
      </c>
      <c r="F170" s="152">
        <f>+E170+H170+K170+N170+Q170</f>
        <v>1012500</v>
      </c>
      <c r="G170" s="152"/>
      <c r="H170" s="152"/>
      <c r="I170" s="152">
        <f>+E170-G170+H170</f>
        <v>5512500</v>
      </c>
      <c r="J170" s="152"/>
      <c r="K170" s="152"/>
      <c r="L170" s="152">
        <f>+I170+K170-J170</f>
        <v>5512500</v>
      </c>
      <c r="M170" s="152"/>
      <c r="N170" s="152"/>
      <c r="O170" s="152">
        <f>+L170+N170-M170</f>
        <v>5512500</v>
      </c>
      <c r="P170" s="152"/>
      <c r="Q170" s="152">
        <v>-4500000</v>
      </c>
      <c r="R170" s="223">
        <f>+O170+Q170-P170</f>
        <v>1012500</v>
      </c>
      <c r="S170" s="223">
        <f t="shared" ref="S170:S171" si="146">+F170-R170</f>
        <v>0</v>
      </c>
    </row>
    <row r="171" spans="1:19" ht="22.5" x14ac:dyDescent="0.25">
      <c r="A171" s="1" t="s">
        <v>318</v>
      </c>
      <c r="B171" s="96" t="s">
        <v>404</v>
      </c>
      <c r="C171" s="33" t="s">
        <v>173</v>
      </c>
      <c r="D171" s="30" t="s">
        <v>174</v>
      </c>
      <c r="E171" s="152">
        <v>20604500</v>
      </c>
      <c r="F171" s="152">
        <f>+E171+H171+K171+N171+Q171</f>
        <v>20604500</v>
      </c>
      <c r="G171" s="152"/>
      <c r="H171" s="152"/>
      <c r="I171" s="152">
        <f>+E171-G171+H171</f>
        <v>20604500</v>
      </c>
      <c r="J171" s="152">
        <f>1602434+797297+2913951+1080000</f>
        <v>6393682</v>
      </c>
      <c r="K171" s="152"/>
      <c r="L171" s="152">
        <f>+I171+K171-J171</f>
        <v>14210818</v>
      </c>
      <c r="M171" s="152">
        <f>1447744+1447744</f>
        <v>2895488</v>
      </c>
      <c r="N171" s="152"/>
      <c r="O171" s="152">
        <f>+L171+N171-M171</f>
        <v>11315330</v>
      </c>
      <c r="P171" s="152">
        <f>1300034+454601</f>
        <v>1754635</v>
      </c>
      <c r="Q171" s="152"/>
      <c r="R171" s="222">
        <f>+O171+Q171-P171</f>
        <v>9560695</v>
      </c>
      <c r="S171" s="222">
        <f t="shared" si="146"/>
        <v>11043805</v>
      </c>
    </row>
    <row r="172" spans="1:19" x14ac:dyDescent="0.25">
      <c r="A172" s="96" t="s">
        <v>315</v>
      </c>
      <c r="B172" s="96"/>
      <c r="C172" s="34" t="s">
        <v>175</v>
      </c>
      <c r="D172" s="28" t="s">
        <v>134</v>
      </c>
      <c r="E172" s="103">
        <f>+E173</f>
        <v>1000</v>
      </c>
      <c r="F172" s="27">
        <f t="shared" ref="F172:S172" si="147">+F173</f>
        <v>1000</v>
      </c>
      <c r="G172" s="27">
        <f t="shared" si="147"/>
        <v>0</v>
      </c>
      <c r="H172" s="27">
        <f t="shared" si="147"/>
        <v>0</v>
      </c>
      <c r="I172" s="27">
        <f t="shared" si="147"/>
        <v>1000</v>
      </c>
      <c r="J172" s="27">
        <f t="shared" si="147"/>
        <v>0</v>
      </c>
      <c r="K172" s="27">
        <f t="shared" si="147"/>
        <v>0</v>
      </c>
      <c r="L172" s="27">
        <f t="shared" si="147"/>
        <v>1000</v>
      </c>
      <c r="M172" s="27">
        <f t="shared" si="147"/>
        <v>0</v>
      </c>
      <c r="N172" s="27">
        <f t="shared" si="147"/>
        <v>0</v>
      </c>
      <c r="O172" s="27">
        <f t="shared" si="147"/>
        <v>1000</v>
      </c>
      <c r="P172" s="27">
        <f t="shared" si="147"/>
        <v>0</v>
      </c>
      <c r="Q172" s="27">
        <f t="shared" si="147"/>
        <v>0</v>
      </c>
      <c r="R172" s="27">
        <f t="shared" si="147"/>
        <v>1000</v>
      </c>
      <c r="S172" s="27">
        <f t="shared" si="147"/>
        <v>0</v>
      </c>
    </row>
    <row r="173" spans="1:19" x14ac:dyDescent="0.25">
      <c r="A173" s="1" t="s">
        <v>318</v>
      </c>
      <c r="B173" s="96" t="s">
        <v>404</v>
      </c>
      <c r="C173" s="33" t="s">
        <v>176</v>
      </c>
      <c r="D173" s="30" t="s">
        <v>56</v>
      </c>
      <c r="E173" s="152">
        <v>1000</v>
      </c>
      <c r="F173" s="152">
        <f>+E173+H173+K173+N173+Q173</f>
        <v>1000</v>
      </c>
      <c r="G173" s="152"/>
      <c r="H173" s="152"/>
      <c r="I173" s="152">
        <f>+E173-G173+H173</f>
        <v>1000</v>
      </c>
      <c r="J173" s="152"/>
      <c r="K173" s="152"/>
      <c r="L173" s="152">
        <f>+I173+K173-J173</f>
        <v>1000</v>
      </c>
      <c r="M173" s="152"/>
      <c r="N173" s="152"/>
      <c r="O173" s="152">
        <f>+L173+N173-M173</f>
        <v>1000</v>
      </c>
      <c r="P173" s="152"/>
      <c r="Q173" s="152"/>
      <c r="R173" s="222">
        <f>+O173+Q173-P173</f>
        <v>1000</v>
      </c>
      <c r="S173" s="222">
        <f>+F173-R173</f>
        <v>0</v>
      </c>
    </row>
    <row r="174" spans="1:19" ht="22.5" x14ac:dyDescent="0.25">
      <c r="A174" s="96" t="s">
        <v>315</v>
      </c>
      <c r="B174" s="96"/>
      <c r="C174" s="35" t="s">
        <v>177</v>
      </c>
      <c r="D174" s="36" t="s">
        <v>178</v>
      </c>
      <c r="E174" s="104">
        <f>+E175+E176</f>
        <v>1220000000</v>
      </c>
      <c r="F174" s="37">
        <f t="shared" ref="F174:R174" si="148">+F175+F176</f>
        <v>1220000000</v>
      </c>
      <c r="G174" s="37">
        <f t="shared" si="148"/>
        <v>269556208</v>
      </c>
      <c r="H174" s="37">
        <f t="shared" si="148"/>
        <v>0</v>
      </c>
      <c r="I174" s="37">
        <f t="shared" si="148"/>
        <v>950443792</v>
      </c>
      <c r="J174" s="37">
        <f t="shared" si="148"/>
        <v>285549788</v>
      </c>
      <c r="K174" s="37">
        <f t="shared" si="148"/>
        <v>0</v>
      </c>
      <c r="L174" s="37">
        <f t="shared" si="148"/>
        <v>664894004</v>
      </c>
      <c r="M174" s="37">
        <f t="shared" si="148"/>
        <v>269755344</v>
      </c>
      <c r="N174" s="37">
        <f t="shared" si="148"/>
        <v>0</v>
      </c>
      <c r="O174" s="37">
        <f t="shared" si="148"/>
        <v>395138660</v>
      </c>
      <c r="P174" s="37">
        <f t="shared" si="148"/>
        <v>178542830</v>
      </c>
      <c r="Q174" s="37">
        <f t="shared" si="148"/>
        <v>0</v>
      </c>
      <c r="R174" s="37">
        <f t="shared" si="148"/>
        <v>216595830</v>
      </c>
      <c r="S174" s="37">
        <f t="shared" ref="S174" si="149">+S175+S176</f>
        <v>1003404170</v>
      </c>
    </row>
    <row r="175" spans="1:19" x14ac:dyDescent="0.25">
      <c r="A175" s="1" t="s">
        <v>318</v>
      </c>
      <c r="B175" s="96" t="s">
        <v>403</v>
      </c>
      <c r="C175" s="38" t="s">
        <v>179</v>
      </c>
      <c r="D175" s="39" t="s">
        <v>139</v>
      </c>
      <c r="E175" s="154">
        <v>570000000</v>
      </c>
      <c r="F175" s="154">
        <f>+E175+H175+K175+N175+Q175</f>
        <v>570000000</v>
      </c>
      <c r="G175" s="154">
        <f>43388625+45014772+45124575</f>
        <v>133527972</v>
      </c>
      <c r="H175" s="154"/>
      <c r="I175" s="154">
        <f>+E175-G175+H175</f>
        <v>436472028</v>
      </c>
      <c r="J175" s="154">
        <f>1295945+44465126+399400+45779600+55039371</f>
        <v>146979442</v>
      </c>
      <c r="K175" s="154"/>
      <c r="L175" s="154">
        <f>+I175+K175-J175</f>
        <v>289492586</v>
      </c>
      <c r="M175" s="154">
        <f>45030422+36594+44167425+20911+44626514</f>
        <v>133881866</v>
      </c>
      <c r="N175" s="154"/>
      <c r="O175" s="154">
        <f>+L175+N175-M175</f>
        <v>155610720</v>
      </c>
      <c r="P175" s="154">
        <f>45603078+43748627</f>
        <v>89351705</v>
      </c>
      <c r="Q175" s="154"/>
      <c r="R175" s="228">
        <f>+O175+Q175-P175</f>
        <v>66259015</v>
      </c>
      <c r="S175" s="228">
        <f t="shared" ref="S175:S176" si="150">+F175-R175</f>
        <v>503740985</v>
      </c>
    </row>
    <row r="176" spans="1:19" x14ac:dyDescent="0.25">
      <c r="A176" s="1" t="s">
        <v>318</v>
      </c>
      <c r="B176" s="96" t="s">
        <v>403</v>
      </c>
      <c r="C176" s="38" t="s">
        <v>180</v>
      </c>
      <c r="D176" s="39" t="s">
        <v>141</v>
      </c>
      <c r="E176" s="154">
        <v>650000000</v>
      </c>
      <c r="F176" s="154">
        <f>+E176+H176+K176+N176+Q176</f>
        <v>650000000</v>
      </c>
      <c r="G176" s="154">
        <f>44234693+45841729+45951814</f>
        <v>136028236</v>
      </c>
      <c r="H176" s="154"/>
      <c r="I176" s="154">
        <f>+E176-G176+H176</f>
        <v>513971764</v>
      </c>
      <c r="J176" s="154">
        <f>1321864+45244964+407388+46040993+45555137</f>
        <v>138570346</v>
      </c>
      <c r="K176" s="154"/>
      <c r="L176" s="154">
        <f>+I176+K176-J176</f>
        <v>375401418</v>
      </c>
      <c r="M176" s="154">
        <f>45900155+37325+44546106+21329+45368563</f>
        <v>135873478</v>
      </c>
      <c r="N176" s="154"/>
      <c r="O176" s="154">
        <f>+L176+N176-M176</f>
        <v>239527940</v>
      </c>
      <c r="P176" s="154">
        <f>45218146+43972979</f>
        <v>89191125</v>
      </c>
      <c r="Q176" s="154"/>
      <c r="R176" s="228">
        <f>+O176+Q176-P176</f>
        <v>150336815</v>
      </c>
      <c r="S176" s="228">
        <f t="shared" si="150"/>
        <v>499663185</v>
      </c>
    </row>
    <row r="177" spans="1:19" ht="22.5" x14ac:dyDescent="0.25">
      <c r="A177" s="96" t="s">
        <v>315</v>
      </c>
      <c r="B177" s="96"/>
      <c r="C177" s="34" t="s">
        <v>181</v>
      </c>
      <c r="D177" s="28" t="s">
        <v>182</v>
      </c>
      <c r="E177" s="103">
        <f>+E178+E180</f>
        <v>615413069.97500002</v>
      </c>
      <c r="F177" s="27">
        <f t="shared" ref="F177:R177" si="151">+F178+F180</f>
        <v>1759931539.9949999</v>
      </c>
      <c r="G177" s="27">
        <f t="shared" si="151"/>
        <v>0</v>
      </c>
      <c r="H177" s="27">
        <f t="shared" si="151"/>
        <v>0</v>
      </c>
      <c r="I177" s="27">
        <f t="shared" si="151"/>
        <v>615413069.97500002</v>
      </c>
      <c r="J177" s="27">
        <f t="shared" si="151"/>
        <v>1019563002.005</v>
      </c>
      <c r="K177" s="27">
        <f t="shared" si="151"/>
        <v>404149932.02999997</v>
      </c>
      <c r="L177" s="27">
        <f t="shared" si="151"/>
        <v>0</v>
      </c>
      <c r="M177" s="27">
        <f t="shared" si="151"/>
        <v>-432036200.00999999</v>
      </c>
      <c r="N177" s="27">
        <f t="shared" si="151"/>
        <v>0</v>
      </c>
      <c r="O177" s="27">
        <f t="shared" si="151"/>
        <v>432036200.00999999</v>
      </c>
      <c r="P177" s="27">
        <f t="shared" si="151"/>
        <v>0</v>
      </c>
      <c r="Q177" s="27">
        <f t="shared" si="151"/>
        <v>740368537.99000001</v>
      </c>
      <c r="R177" s="27">
        <f t="shared" si="151"/>
        <v>1172404738</v>
      </c>
      <c r="S177" s="27">
        <f t="shared" ref="S177" si="152">+S178+S180</f>
        <v>587526801.995</v>
      </c>
    </row>
    <row r="178" spans="1:19" x14ac:dyDescent="0.25">
      <c r="A178" s="1" t="s">
        <v>322</v>
      </c>
      <c r="C178" s="33" t="s">
        <v>183</v>
      </c>
      <c r="D178" s="30" t="s">
        <v>184</v>
      </c>
      <c r="E178" s="152">
        <v>615413069.97500002</v>
      </c>
      <c r="F178" s="152">
        <f>+E178+H178+K178+N178+Q178</f>
        <v>1019563002.005</v>
      </c>
      <c r="G178" s="152"/>
      <c r="H178" s="152"/>
      <c r="I178" s="152">
        <f>+E178-G178+H178</f>
        <v>615413069.97500002</v>
      </c>
      <c r="J178" s="152">
        <v>1019563002.005</v>
      </c>
      <c r="K178" s="152">
        <v>404149932.02999997</v>
      </c>
      <c r="L178" s="152">
        <f>+I178+K178-J178</f>
        <v>0</v>
      </c>
      <c r="M178" s="152">
        <v>-432036200.00999999</v>
      </c>
      <c r="N178" s="152"/>
      <c r="O178" s="152">
        <f>+L178+N178-M178</f>
        <v>432036200.00999999</v>
      </c>
      <c r="P178" s="152"/>
      <c r="Q178" s="154"/>
      <c r="R178" s="222">
        <f>+O178+Q178-P178</f>
        <v>432036200.00999999</v>
      </c>
      <c r="S178" s="222">
        <f t="shared" ref="S178:S180" si="153">+F178-R178</f>
        <v>587526801.995</v>
      </c>
    </row>
    <row r="179" spans="1:19" x14ac:dyDescent="0.25">
      <c r="A179" s="1" t="s">
        <v>321</v>
      </c>
      <c r="C179" s="33" t="s">
        <v>185</v>
      </c>
      <c r="D179" s="30" t="s">
        <v>186</v>
      </c>
      <c r="E179" s="152">
        <v>1000</v>
      </c>
      <c r="F179" s="152">
        <f>+E179+H179+K179+N179+Q179</f>
        <v>1000</v>
      </c>
      <c r="G179" s="152"/>
      <c r="H179" s="152"/>
      <c r="I179" s="152">
        <f>+E179-G179+H179</f>
        <v>1000</v>
      </c>
      <c r="J179" s="152"/>
      <c r="K179" s="152"/>
      <c r="L179" s="152">
        <f>+I179+K179-J179</f>
        <v>1000</v>
      </c>
      <c r="M179" s="152"/>
      <c r="N179" s="152"/>
      <c r="O179" s="152">
        <f>+L179+N179-M179</f>
        <v>1000</v>
      </c>
      <c r="P179" s="152"/>
      <c r="Q179" s="152"/>
      <c r="R179" s="222">
        <f>+O179+Q179-P179</f>
        <v>1000</v>
      </c>
      <c r="S179" s="222">
        <f t="shared" si="153"/>
        <v>0</v>
      </c>
    </row>
    <row r="180" spans="1:19" x14ac:dyDescent="0.25">
      <c r="A180" s="1" t="s">
        <v>322</v>
      </c>
      <c r="C180" s="33" t="s">
        <v>433</v>
      </c>
      <c r="D180" s="30" t="s">
        <v>434</v>
      </c>
      <c r="E180" s="152">
        <v>0</v>
      </c>
      <c r="F180" s="152">
        <f>+E180+H180+K180+N180+Q180</f>
        <v>740368537.99000001</v>
      </c>
      <c r="G180" s="152"/>
      <c r="H180" s="152"/>
      <c r="I180" s="152">
        <f>+E180-G180+H180</f>
        <v>0</v>
      </c>
      <c r="J180" s="152"/>
      <c r="K180" s="152"/>
      <c r="L180" s="152">
        <f>+I180+K180-J180</f>
        <v>0</v>
      </c>
      <c r="M180" s="152"/>
      <c r="N180" s="152"/>
      <c r="O180" s="152">
        <f>+L180+N180-M180</f>
        <v>0</v>
      </c>
      <c r="P180" s="152"/>
      <c r="Q180" s="152">
        <v>740368537.99000001</v>
      </c>
      <c r="R180" s="222">
        <f>+O180+Q180-P180</f>
        <v>740368537.99000001</v>
      </c>
      <c r="S180" s="222">
        <f t="shared" si="153"/>
        <v>0</v>
      </c>
    </row>
    <row r="181" spans="1:19" ht="22.5" x14ac:dyDescent="0.25">
      <c r="A181" s="96" t="s">
        <v>315</v>
      </c>
      <c r="B181" s="96"/>
      <c r="C181" s="34" t="s">
        <v>187</v>
      </c>
      <c r="D181" s="28" t="s">
        <v>188</v>
      </c>
      <c r="E181" s="103">
        <f>+E182</f>
        <v>1469520000</v>
      </c>
      <c r="F181" s="27">
        <f t="shared" ref="F181:S181" si="154">+F182</f>
        <v>1469520000</v>
      </c>
      <c r="G181" s="27">
        <f t="shared" si="154"/>
        <v>835824000</v>
      </c>
      <c r="H181" s="27">
        <f t="shared" si="154"/>
        <v>0</v>
      </c>
      <c r="I181" s="27">
        <f t="shared" si="154"/>
        <v>633696000</v>
      </c>
      <c r="J181" s="27">
        <f t="shared" si="154"/>
        <v>633696000</v>
      </c>
      <c r="K181" s="27">
        <f t="shared" si="154"/>
        <v>0</v>
      </c>
      <c r="L181" s="27">
        <f t="shared" si="154"/>
        <v>0</v>
      </c>
      <c r="M181" s="27">
        <f t="shared" si="154"/>
        <v>0</v>
      </c>
      <c r="N181" s="27">
        <f t="shared" si="154"/>
        <v>0</v>
      </c>
      <c r="O181" s="27">
        <f t="shared" si="154"/>
        <v>0</v>
      </c>
      <c r="P181" s="27">
        <f t="shared" si="154"/>
        <v>0</v>
      </c>
      <c r="Q181" s="27">
        <f t="shared" si="154"/>
        <v>0</v>
      </c>
      <c r="R181" s="27">
        <f t="shared" si="154"/>
        <v>0</v>
      </c>
      <c r="S181" s="27">
        <f t="shared" si="154"/>
        <v>1469520000</v>
      </c>
    </row>
    <row r="182" spans="1:19" ht="22.5" x14ac:dyDescent="0.25">
      <c r="A182" s="1" t="s">
        <v>318</v>
      </c>
      <c r="C182" s="33" t="s">
        <v>189</v>
      </c>
      <c r="D182" s="30" t="s">
        <v>190</v>
      </c>
      <c r="E182" s="152">
        <f>1413000000*104%</f>
        <v>1469520000</v>
      </c>
      <c r="F182" s="152">
        <f>+E182+H182+K182+N182+Q182</f>
        <v>1469520000</v>
      </c>
      <c r="G182" s="152">
        <f>835824000</f>
        <v>835824000</v>
      </c>
      <c r="H182" s="152"/>
      <c r="I182" s="152">
        <f>+E182-G182+H182</f>
        <v>633696000</v>
      </c>
      <c r="J182" s="152">
        <v>633696000</v>
      </c>
      <c r="K182" s="152"/>
      <c r="L182" s="152">
        <f>+I182+K182-J182</f>
        <v>0</v>
      </c>
      <c r="M182" s="152"/>
      <c r="N182" s="152"/>
      <c r="O182" s="152">
        <f>+L182+N182-M182</f>
        <v>0</v>
      </c>
      <c r="P182" s="152"/>
      <c r="Q182" s="152"/>
      <c r="R182" s="222">
        <f>+O182+Q182-P182</f>
        <v>0</v>
      </c>
      <c r="S182" s="222">
        <f>+F182-R182</f>
        <v>1469520000</v>
      </c>
    </row>
    <row r="183" spans="1:19" ht="22.5" x14ac:dyDescent="0.25">
      <c r="A183" s="96" t="s">
        <v>315</v>
      </c>
      <c r="B183" s="96"/>
      <c r="C183" s="34" t="s">
        <v>191</v>
      </c>
      <c r="D183" s="28" t="s">
        <v>192</v>
      </c>
      <c r="E183" s="103">
        <f>+E184+E185+E186</f>
        <v>3090631266</v>
      </c>
      <c r="F183" s="27">
        <f t="shared" ref="F183:R183" si="155">+F184+F185+F186</f>
        <v>3090631266</v>
      </c>
      <c r="G183" s="27">
        <f t="shared" si="155"/>
        <v>2951278720.1700001</v>
      </c>
      <c r="H183" s="27">
        <f t="shared" si="155"/>
        <v>0</v>
      </c>
      <c r="I183" s="27">
        <f t="shared" si="155"/>
        <v>139352545.82999992</v>
      </c>
      <c r="J183" s="27">
        <f t="shared" si="155"/>
        <v>0</v>
      </c>
      <c r="K183" s="27">
        <f t="shared" si="155"/>
        <v>0</v>
      </c>
      <c r="L183" s="27">
        <f t="shared" si="155"/>
        <v>139352545.82999992</v>
      </c>
      <c r="M183" s="27">
        <f t="shared" si="155"/>
        <v>46360125</v>
      </c>
      <c r="N183" s="27">
        <f t="shared" si="155"/>
        <v>0</v>
      </c>
      <c r="O183" s="27">
        <f t="shared" si="155"/>
        <v>92992420.829999924</v>
      </c>
      <c r="P183" s="27">
        <f t="shared" si="155"/>
        <v>0</v>
      </c>
      <c r="Q183" s="27">
        <f t="shared" si="155"/>
        <v>0</v>
      </c>
      <c r="R183" s="27">
        <f t="shared" si="155"/>
        <v>92992420.829999924</v>
      </c>
      <c r="S183" s="27">
        <f t="shared" ref="S183" si="156">+S184+S185+S186</f>
        <v>2997638845.1700001</v>
      </c>
    </row>
    <row r="184" spans="1:19" x14ac:dyDescent="0.25">
      <c r="A184" s="1" t="s">
        <v>323</v>
      </c>
      <c r="C184" s="33" t="s">
        <v>193</v>
      </c>
      <c r="D184" s="40" t="s">
        <v>194</v>
      </c>
      <c r="E184" s="152">
        <v>1444271141</v>
      </c>
      <c r="F184" s="152">
        <f>+E184+H184+K184+N184+Q184</f>
        <v>1297483356</v>
      </c>
      <c r="G184" s="152">
        <v>1204490935.1700001</v>
      </c>
      <c r="H184" s="152">
        <f>-146787785</f>
        <v>-146787785</v>
      </c>
      <c r="I184" s="152">
        <f>+E184-G184+H184</f>
        <v>92992420.829999924</v>
      </c>
      <c r="J184" s="152"/>
      <c r="K184" s="152"/>
      <c r="L184" s="152">
        <f>+I184+K184-J184</f>
        <v>92992420.829999924</v>
      </c>
      <c r="M184" s="152"/>
      <c r="N184" s="152"/>
      <c r="O184" s="152">
        <f>+L184+N184-M184</f>
        <v>92992420.829999924</v>
      </c>
      <c r="P184" s="152"/>
      <c r="Q184" s="152"/>
      <c r="R184" s="222">
        <f>+O184+Q184-P184</f>
        <v>92992420.829999924</v>
      </c>
      <c r="S184" s="222">
        <f t="shared" ref="S184:S186" si="157">+F184-R184</f>
        <v>1204490935.1700001</v>
      </c>
    </row>
    <row r="185" spans="1:19" ht="22.5" x14ac:dyDescent="0.25">
      <c r="A185" s="1" t="s">
        <v>323</v>
      </c>
      <c r="C185" s="33" t="s">
        <v>195</v>
      </c>
      <c r="D185" s="40" t="s">
        <v>196</v>
      </c>
      <c r="E185" s="152">
        <v>1600000000</v>
      </c>
      <c r="F185" s="152">
        <f>+E185+H185+K185+N185+Q185</f>
        <v>1746787785</v>
      </c>
      <c r="G185" s="152">
        <v>1746787785</v>
      </c>
      <c r="H185" s="152">
        <v>146787785</v>
      </c>
      <c r="I185" s="152">
        <f>+E185-G185+H185</f>
        <v>0</v>
      </c>
      <c r="J185" s="152"/>
      <c r="K185" s="152"/>
      <c r="L185" s="152">
        <f>+I185+K185-J185</f>
        <v>0</v>
      </c>
      <c r="M185" s="152"/>
      <c r="N185" s="152"/>
      <c r="O185" s="152">
        <f>+L185+N185-M185</f>
        <v>0</v>
      </c>
      <c r="P185" s="152"/>
      <c r="Q185" s="152"/>
      <c r="R185" s="222">
        <f>+O185+Q185-P185</f>
        <v>0</v>
      </c>
      <c r="S185" s="222">
        <f t="shared" si="157"/>
        <v>1746787785</v>
      </c>
    </row>
    <row r="186" spans="1:19" x14ac:dyDescent="0.25">
      <c r="A186" s="1" t="s">
        <v>324</v>
      </c>
      <c r="C186" s="33" t="s">
        <v>197</v>
      </c>
      <c r="D186" s="30" t="s">
        <v>198</v>
      </c>
      <c r="E186" s="153">
        <v>46360125</v>
      </c>
      <c r="F186" s="153">
        <f>+E186+H186+K186+N186+Q186</f>
        <v>46360125</v>
      </c>
      <c r="G186" s="153"/>
      <c r="H186" s="153"/>
      <c r="I186" s="153">
        <f>+E186-G186+H186</f>
        <v>46360125</v>
      </c>
      <c r="J186" s="153"/>
      <c r="K186" s="153"/>
      <c r="L186" s="153">
        <f>+I186+K186-J186</f>
        <v>46360125</v>
      </c>
      <c r="M186" s="153">
        <v>46360125</v>
      </c>
      <c r="N186" s="153"/>
      <c r="O186" s="153">
        <f>+L186+N186-M186</f>
        <v>0</v>
      </c>
      <c r="P186" s="153"/>
      <c r="Q186" s="153"/>
      <c r="R186" s="229">
        <f>+O186+Q186-P186</f>
        <v>0</v>
      </c>
      <c r="S186" s="229">
        <f t="shared" si="157"/>
        <v>46360125</v>
      </c>
    </row>
    <row r="187" spans="1:19" ht="22.5" x14ac:dyDescent="0.25">
      <c r="A187" s="96" t="s">
        <v>315</v>
      </c>
      <c r="B187" s="96"/>
      <c r="C187" s="34" t="s">
        <v>199</v>
      </c>
      <c r="D187" s="28" t="s">
        <v>200</v>
      </c>
      <c r="E187" s="103">
        <f>+E188</f>
        <v>357039309</v>
      </c>
      <c r="F187" s="27">
        <f t="shared" ref="F187:S187" si="158">+F188</f>
        <v>454674200</v>
      </c>
      <c r="G187" s="27">
        <f t="shared" si="158"/>
        <v>338672400</v>
      </c>
      <c r="H187" s="27">
        <f t="shared" si="158"/>
        <v>0</v>
      </c>
      <c r="I187" s="27">
        <f t="shared" si="158"/>
        <v>18366909</v>
      </c>
      <c r="J187" s="27">
        <f t="shared" si="158"/>
        <v>116001792</v>
      </c>
      <c r="K187" s="27">
        <f t="shared" si="158"/>
        <v>97634891</v>
      </c>
      <c r="L187" s="27">
        <f t="shared" si="158"/>
        <v>8</v>
      </c>
      <c r="M187" s="27">
        <f t="shared" si="158"/>
        <v>0</v>
      </c>
      <c r="N187" s="27">
        <f t="shared" si="158"/>
        <v>0</v>
      </c>
      <c r="O187" s="27">
        <f t="shared" si="158"/>
        <v>8</v>
      </c>
      <c r="P187" s="27">
        <f t="shared" si="158"/>
        <v>-35549800</v>
      </c>
      <c r="Q187" s="27">
        <f t="shared" si="158"/>
        <v>0</v>
      </c>
      <c r="R187" s="27">
        <f t="shared" si="158"/>
        <v>35549808</v>
      </c>
      <c r="S187" s="27">
        <f t="shared" si="158"/>
        <v>419124392</v>
      </c>
    </row>
    <row r="188" spans="1:19" ht="22.5" x14ac:dyDescent="0.25">
      <c r="A188" s="1" t="s">
        <v>319</v>
      </c>
      <c r="C188" s="33" t="s">
        <v>201</v>
      </c>
      <c r="D188" s="30" t="s">
        <v>202</v>
      </c>
      <c r="E188" s="152">
        <v>357039309</v>
      </c>
      <c r="F188" s="152">
        <f>+E188+H188+K188+N188+Q188</f>
        <v>454674200</v>
      </c>
      <c r="G188" s="152">
        <v>338672400</v>
      </c>
      <c r="H188" s="152"/>
      <c r="I188" s="152">
        <f>+E188-G188+H188</f>
        <v>18366909</v>
      </c>
      <c r="J188" s="152">
        <f>100881792+15120000</f>
        <v>116001792</v>
      </c>
      <c r="K188" s="152">
        <v>97634891</v>
      </c>
      <c r="L188" s="152">
        <f>+I188+K188-J188</f>
        <v>8</v>
      </c>
      <c r="M188" s="152"/>
      <c r="N188" s="152"/>
      <c r="O188" s="152">
        <f>+L188+N188-M188</f>
        <v>8</v>
      </c>
      <c r="P188" s="152">
        <v>-35549800</v>
      </c>
      <c r="Q188" s="152"/>
      <c r="R188" s="222">
        <f>+O188+Q188-P188</f>
        <v>35549808</v>
      </c>
      <c r="S188" s="222">
        <f>+F188-R188</f>
        <v>419124392</v>
      </c>
    </row>
    <row r="189" spans="1:19" ht="22.5" x14ac:dyDescent="0.25">
      <c r="A189" s="96" t="s">
        <v>315</v>
      </c>
      <c r="B189" s="96"/>
      <c r="C189" s="34" t="s">
        <v>203</v>
      </c>
      <c r="D189" s="28" t="s">
        <v>204</v>
      </c>
      <c r="E189" s="103">
        <f>+E190</f>
        <v>5000000</v>
      </c>
      <c r="F189" s="27">
        <f t="shared" ref="F189:S189" si="159">+F190</f>
        <v>5000000</v>
      </c>
      <c r="G189" s="27">
        <f t="shared" si="159"/>
        <v>0</v>
      </c>
      <c r="H189" s="27">
        <f t="shared" si="159"/>
        <v>0</v>
      </c>
      <c r="I189" s="27">
        <f t="shared" si="159"/>
        <v>5000000</v>
      </c>
      <c r="J189" s="27">
        <f t="shared" si="159"/>
        <v>0</v>
      </c>
      <c r="K189" s="27">
        <f t="shared" si="159"/>
        <v>0</v>
      </c>
      <c r="L189" s="27">
        <f t="shared" si="159"/>
        <v>5000000</v>
      </c>
      <c r="M189" s="27">
        <f t="shared" si="159"/>
        <v>3125000</v>
      </c>
      <c r="N189" s="27">
        <f t="shared" si="159"/>
        <v>0</v>
      </c>
      <c r="O189" s="27">
        <f t="shared" si="159"/>
        <v>1875000</v>
      </c>
      <c r="P189" s="27">
        <f t="shared" si="159"/>
        <v>0</v>
      </c>
      <c r="Q189" s="27">
        <f t="shared" si="159"/>
        <v>0</v>
      </c>
      <c r="R189" s="27">
        <f t="shared" si="159"/>
        <v>1875000</v>
      </c>
      <c r="S189" s="27">
        <f t="shared" si="159"/>
        <v>3125000</v>
      </c>
    </row>
    <row r="190" spans="1:19" x14ac:dyDescent="0.25">
      <c r="A190" s="1" t="s">
        <v>325</v>
      </c>
      <c r="C190" s="33" t="s">
        <v>205</v>
      </c>
      <c r="D190" s="30" t="s">
        <v>206</v>
      </c>
      <c r="E190" s="152">
        <v>5000000</v>
      </c>
      <c r="F190" s="152">
        <f>+E190+H190+K190+N190+Q190</f>
        <v>5000000</v>
      </c>
      <c r="G190" s="152"/>
      <c r="H190" s="152"/>
      <c r="I190" s="152">
        <f>+E190-G190+H190</f>
        <v>5000000</v>
      </c>
      <c r="J190" s="152"/>
      <c r="K190" s="152"/>
      <c r="L190" s="152">
        <f>+I190+K190-J190</f>
        <v>5000000</v>
      </c>
      <c r="M190" s="152">
        <v>3125000</v>
      </c>
      <c r="N190" s="152"/>
      <c r="O190" s="152">
        <f>+L190+N190-M190</f>
        <v>1875000</v>
      </c>
      <c r="P190" s="152"/>
      <c r="Q190" s="152"/>
      <c r="R190" s="222">
        <f>+O190+Q190-P190</f>
        <v>1875000</v>
      </c>
      <c r="S190" s="222">
        <f>+F190-R190</f>
        <v>3125000</v>
      </c>
    </row>
    <row r="191" spans="1:19" ht="22.5" x14ac:dyDescent="0.25">
      <c r="A191" s="96" t="s">
        <v>315</v>
      </c>
      <c r="B191" s="96"/>
      <c r="C191" s="41" t="s">
        <v>207</v>
      </c>
      <c r="D191" s="42" t="s">
        <v>208</v>
      </c>
      <c r="E191" s="105">
        <f>+E192+E196+E197+E198+E201+E202+E203+E193+E194+E195</f>
        <v>2405224574</v>
      </c>
      <c r="F191" s="43">
        <f t="shared" ref="F191:R191" si="160">+F192+F196+F197+F198+F201+F202+F203+F193+F194+F195</f>
        <v>2198648729</v>
      </c>
      <c r="G191" s="43">
        <f t="shared" si="160"/>
        <v>2221959564.3499999</v>
      </c>
      <c r="H191" s="43">
        <f t="shared" si="160"/>
        <v>0</v>
      </c>
      <c r="I191" s="43">
        <f t="shared" si="160"/>
        <v>183265009.65000001</v>
      </c>
      <c r="J191" s="126">
        <f t="shared" si="160"/>
        <v>4164.6499999999996</v>
      </c>
      <c r="K191" s="126">
        <f t="shared" si="160"/>
        <v>-176575845</v>
      </c>
      <c r="L191" s="126">
        <f t="shared" si="160"/>
        <v>6685000.0000000056</v>
      </c>
      <c r="M191" s="43">
        <f t="shared" si="160"/>
        <v>-53398000</v>
      </c>
      <c r="N191" s="43">
        <f t="shared" si="160"/>
        <v>0</v>
      </c>
      <c r="O191" s="43">
        <f t="shared" si="160"/>
        <v>60083000.000000007</v>
      </c>
      <c r="P191" s="43">
        <f t="shared" si="160"/>
        <v>0</v>
      </c>
      <c r="Q191" s="43">
        <f t="shared" si="160"/>
        <v>-30000000</v>
      </c>
      <c r="R191" s="43">
        <f t="shared" si="160"/>
        <v>30083000.000000007</v>
      </c>
      <c r="S191" s="43">
        <f t="shared" ref="S191" si="161">+S192+S196+S197+S198+S201+S202+S203+S193+S194+S195</f>
        <v>2168565729</v>
      </c>
    </row>
    <row r="192" spans="1:19" ht="22.5" x14ac:dyDescent="0.25">
      <c r="A192" s="1" t="s">
        <v>326</v>
      </c>
      <c r="C192" s="44" t="s">
        <v>209</v>
      </c>
      <c r="D192" s="45" t="s">
        <v>210</v>
      </c>
      <c r="E192" s="155">
        <v>1000</v>
      </c>
      <c r="F192" s="155">
        <f t="shared" ref="F192:F197" si="162">+E192+H192+K192+N192+Q192</f>
        <v>0</v>
      </c>
      <c r="G192" s="155"/>
      <c r="H192" s="155"/>
      <c r="I192" s="155">
        <f t="shared" ref="I192:I197" si="163">+E192-G192+H192</f>
        <v>1000</v>
      </c>
      <c r="J192" s="155"/>
      <c r="K192" s="155"/>
      <c r="L192" s="155">
        <f t="shared" ref="L192:L197" si="164">+I192+K192-J192</f>
        <v>1000</v>
      </c>
      <c r="M192" s="155"/>
      <c r="N192" s="155"/>
      <c r="O192" s="155">
        <f t="shared" ref="O192:O197" si="165">+L192+N192-M192</f>
        <v>1000</v>
      </c>
      <c r="P192" s="155"/>
      <c r="Q192" s="155">
        <v>-1000</v>
      </c>
      <c r="R192" s="230">
        <f t="shared" ref="R192:S197" si="166">+O192+Q192-P192</f>
        <v>0</v>
      </c>
      <c r="S192" s="230">
        <f t="shared" ref="S192:S197" si="167">+F192-R192</f>
        <v>0</v>
      </c>
    </row>
    <row r="193" spans="1:19" ht="22.5" x14ac:dyDescent="0.25">
      <c r="A193" s="1" t="s">
        <v>320</v>
      </c>
      <c r="C193" s="44" t="s">
        <v>211</v>
      </c>
      <c r="D193" s="45" t="s">
        <v>379</v>
      </c>
      <c r="E193" s="155">
        <v>655637674</v>
      </c>
      <c r="F193" s="155">
        <f t="shared" si="162"/>
        <v>655637674</v>
      </c>
      <c r="G193" s="155">
        <f>619211206+36426468</f>
        <v>655637674</v>
      </c>
      <c r="H193" s="155"/>
      <c r="I193" s="155">
        <f t="shared" si="163"/>
        <v>0</v>
      </c>
      <c r="J193" s="155"/>
      <c r="K193" s="155"/>
      <c r="L193" s="155">
        <f t="shared" si="164"/>
        <v>0</v>
      </c>
      <c r="M193" s="155"/>
      <c r="N193" s="155"/>
      <c r="O193" s="155">
        <f t="shared" si="165"/>
        <v>0</v>
      </c>
      <c r="P193" s="155"/>
      <c r="Q193" s="155"/>
      <c r="R193" s="230">
        <f t="shared" si="166"/>
        <v>0</v>
      </c>
      <c r="S193" s="230">
        <f t="shared" si="167"/>
        <v>655637674</v>
      </c>
    </row>
    <row r="194" spans="1:19" x14ac:dyDescent="0.25">
      <c r="A194" s="1" t="s">
        <v>320</v>
      </c>
      <c r="C194" s="44" t="s">
        <v>213</v>
      </c>
      <c r="D194" s="45" t="s">
        <v>256</v>
      </c>
      <c r="E194" s="155">
        <v>1000</v>
      </c>
      <c r="F194" s="155">
        <f t="shared" si="162"/>
        <v>0</v>
      </c>
      <c r="G194" s="155"/>
      <c r="H194" s="155"/>
      <c r="I194" s="155">
        <f t="shared" si="163"/>
        <v>1000</v>
      </c>
      <c r="J194" s="155"/>
      <c r="K194" s="155"/>
      <c r="L194" s="155">
        <f t="shared" si="164"/>
        <v>1000</v>
      </c>
      <c r="M194" s="155"/>
      <c r="N194" s="155"/>
      <c r="O194" s="155">
        <f t="shared" si="165"/>
        <v>1000</v>
      </c>
      <c r="P194" s="155"/>
      <c r="Q194" s="155">
        <v>-1000</v>
      </c>
      <c r="R194" s="230">
        <f t="shared" si="166"/>
        <v>0</v>
      </c>
      <c r="S194" s="230">
        <f t="shared" si="167"/>
        <v>0</v>
      </c>
    </row>
    <row r="195" spans="1:19" ht="22.5" x14ac:dyDescent="0.25">
      <c r="A195" s="1" t="s">
        <v>320</v>
      </c>
      <c r="C195" s="44" t="s">
        <v>215</v>
      </c>
      <c r="D195" s="45" t="s">
        <v>258</v>
      </c>
      <c r="E195" s="155">
        <v>1000</v>
      </c>
      <c r="F195" s="155">
        <f t="shared" si="162"/>
        <v>0</v>
      </c>
      <c r="G195" s="155"/>
      <c r="H195" s="155"/>
      <c r="I195" s="155">
        <f t="shared" si="163"/>
        <v>1000</v>
      </c>
      <c r="J195" s="155"/>
      <c r="K195" s="155"/>
      <c r="L195" s="155">
        <f t="shared" si="164"/>
        <v>1000</v>
      </c>
      <c r="M195" s="155"/>
      <c r="N195" s="155"/>
      <c r="O195" s="155">
        <f t="shared" si="165"/>
        <v>1000</v>
      </c>
      <c r="P195" s="155"/>
      <c r="Q195" s="155">
        <v>-1000</v>
      </c>
      <c r="R195" s="230">
        <f t="shared" si="166"/>
        <v>0</v>
      </c>
      <c r="S195" s="230">
        <f t="shared" si="167"/>
        <v>0</v>
      </c>
    </row>
    <row r="196" spans="1:19" x14ac:dyDescent="0.25">
      <c r="A196" s="1" t="s">
        <v>328</v>
      </c>
      <c r="C196" s="44" t="s">
        <v>217</v>
      </c>
      <c r="D196" s="45" t="s">
        <v>214</v>
      </c>
      <c r="E196" s="155">
        <v>74418000</v>
      </c>
      <c r="F196" s="155">
        <f t="shared" si="162"/>
        <v>0</v>
      </c>
      <c r="G196" s="155"/>
      <c r="H196" s="155"/>
      <c r="I196" s="155">
        <f t="shared" si="163"/>
        <v>74418000</v>
      </c>
      <c r="J196" s="155"/>
      <c r="K196" s="155">
        <v>-73418000</v>
      </c>
      <c r="L196" s="155">
        <f t="shared" si="164"/>
        <v>1000000</v>
      </c>
      <c r="M196" s="155"/>
      <c r="N196" s="155">
        <v>-1000000</v>
      </c>
      <c r="O196" s="155">
        <f t="shared" si="165"/>
        <v>0</v>
      </c>
      <c r="P196" s="155"/>
      <c r="Q196" s="155">
        <f>73418000-73418000</f>
        <v>0</v>
      </c>
      <c r="R196" s="230">
        <f t="shared" si="166"/>
        <v>0</v>
      </c>
      <c r="S196" s="230">
        <f t="shared" si="167"/>
        <v>0</v>
      </c>
    </row>
    <row r="197" spans="1:19" ht="22.5" x14ac:dyDescent="0.25">
      <c r="A197" s="1" t="s">
        <v>327</v>
      </c>
      <c r="C197" s="44" t="s">
        <v>221</v>
      </c>
      <c r="D197" s="45" t="s">
        <v>216</v>
      </c>
      <c r="E197" s="155">
        <v>31904750</v>
      </c>
      <c r="F197" s="155">
        <f t="shared" si="162"/>
        <v>0</v>
      </c>
      <c r="G197" s="155"/>
      <c r="H197" s="155"/>
      <c r="I197" s="155">
        <f t="shared" si="163"/>
        <v>31904750</v>
      </c>
      <c r="J197" s="155"/>
      <c r="K197" s="155">
        <v>-29304750</v>
      </c>
      <c r="L197" s="155">
        <f t="shared" si="164"/>
        <v>2600000</v>
      </c>
      <c r="M197" s="155"/>
      <c r="N197" s="155">
        <v>-2600000</v>
      </c>
      <c r="O197" s="155">
        <f t="shared" si="165"/>
        <v>0</v>
      </c>
      <c r="P197" s="155"/>
      <c r="Q197" s="155">
        <f>29304750-29304750</f>
        <v>0</v>
      </c>
      <c r="R197" s="230">
        <f t="shared" si="166"/>
        <v>0</v>
      </c>
      <c r="S197" s="230">
        <f t="shared" si="167"/>
        <v>0</v>
      </c>
    </row>
    <row r="198" spans="1:19" ht="22.5" x14ac:dyDescent="0.25">
      <c r="A198" s="96" t="s">
        <v>315</v>
      </c>
      <c r="B198" s="96"/>
      <c r="C198" s="41" t="s">
        <v>223</v>
      </c>
      <c r="D198" s="42" t="s">
        <v>218</v>
      </c>
      <c r="E198" s="106">
        <f>+E199+E200</f>
        <v>1135442894</v>
      </c>
      <c r="F198" s="46">
        <f t="shared" ref="F198:R198" si="168">+F199+F200</f>
        <v>1080087164.6500001</v>
      </c>
      <c r="G198" s="46">
        <f t="shared" si="168"/>
        <v>1050000000</v>
      </c>
      <c r="H198" s="46">
        <f t="shared" si="168"/>
        <v>-18606140.350000001</v>
      </c>
      <c r="I198" s="46">
        <f t="shared" si="168"/>
        <v>66836753.649999999</v>
      </c>
      <c r="J198" s="127">
        <f t="shared" si="168"/>
        <v>4164.6499999999996</v>
      </c>
      <c r="K198" s="127">
        <f t="shared" si="168"/>
        <v>-66832589</v>
      </c>
      <c r="L198" s="127">
        <f t="shared" si="168"/>
        <v>-1.4902070688549429E-9</v>
      </c>
      <c r="M198" s="46">
        <f t="shared" si="168"/>
        <v>0</v>
      </c>
      <c r="N198" s="46">
        <f t="shared" si="168"/>
        <v>0</v>
      </c>
      <c r="O198" s="46">
        <f t="shared" si="168"/>
        <v>-1.4902070688549429E-9</v>
      </c>
      <c r="P198" s="46">
        <f t="shared" si="168"/>
        <v>0</v>
      </c>
      <c r="Q198" s="46">
        <f t="shared" si="168"/>
        <v>30083000</v>
      </c>
      <c r="R198" s="46">
        <f t="shared" si="168"/>
        <v>30083000</v>
      </c>
      <c r="S198" s="46">
        <f t="shared" ref="S198" si="169">+S199+S200</f>
        <v>1050004164.65</v>
      </c>
    </row>
    <row r="199" spans="1:19" ht="22.5" x14ac:dyDescent="0.25">
      <c r="A199" s="1" t="s">
        <v>318</v>
      </c>
      <c r="C199" s="44" t="s">
        <v>305</v>
      </c>
      <c r="D199" s="45" t="s">
        <v>219</v>
      </c>
      <c r="E199" s="155">
        <v>720621026</v>
      </c>
      <c r="F199" s="155">
        <f>+E199+H199+K199+N199+Q199</f>
        <v>650002164.64999998</v>
      </c>
      <c r="G199" s="155">
        <v>650000000</v>
      </c>
      <c r="H199" s="155">
        <v>-18606140.350000001</v>
      </c>
      <c r="I199" s="155">
        <f>+E199-G199+H199</f>
        <v>52014885.649999999</v>
      </c>
      <c r="J199" s="155">
        <v>2164.65</v>
      </c>
      <c r="K199" s="155">
        <v>-52012721</v>
      </c>
      <c r="L199" s="155">
        <f>+I199+K199-J199</f>
        <v>-1.4902070688549429E-9</v>
      </c>
      <c r="M199" s="155"/>
      <c r="N199" s="155"/>
      <c r="O199" s="155">
        <f>+L199+N199-M199</f>
        <v>-1.4902070688549429E-9</v>
      </c>
      <c r="P199" s="155"/>
      <c r="Q199" s="155">
        <f>52012721-52012721</f>
        <v>0</v>
      </c>
      <c r="R199" s="230">
        <f>+O199+Q199-P199</f>
        <v>-1.4902070688549429E-9</v>
      </c>
      <c r="S199" s="230">
        <f t="shared" ref="S199:S203" si="170">+F199-R199</f>
        <v>650002164.64999998</v>
      </c>
    </row>
    <row r="200" spans="1:19" ht="22.5" x14ac:dyDescent="0.25">
      <c r="A200" s="1" t="s">
        <v>318</v>
      </c>
      <c r="C200" s="44" t="s">
        <v>306</v>
      </c>
      <c r="D200" s="45" t="s">
        <v>220</v>
      </c>
      <c r="E200" s="155">
        <f>440144718-25322850</f>
        <v>414821868</v>
      </c>
      <c r="F200" s="155">
        <f>+E200+H200+K200+N200+Q200</f>
        <v>430085000</v>
      </c>
      <c r="G200" s="155">
        <v>400000000</v>
      </c>
      <c r="H200" s="155"/>
      <c r="I200" s="155">
        <f>+E200-G200+H200</f>
        <v>14821868</v>
      </c>
      <c r="J200" s="155">
        <v>2000</v>
      </c>
      <c r="K200" s="155">
        <v>-14819868</v>
      </c>
      <c r="L200" s="155">
        <f>+I200+K200-J200</f>
        <v>0</v>
      </c>
      <c r="M200" s="155"/>
      <c r="N200" s="155"/>
      <c r="O200" s="155">
        <f>+L200+N200-M200</f>
        <v>0</v>
      </c>
      <c r="P200" s="155"/>
      <c r="Q200" s="155">
        <f>30083000+14819868-14819868</f>
        <v>30083000</v>
      </c>
      <c r="R200" s="230">
        <f>+O200+Q200-P200</f>
        <v>30083000</v>
      </c>
      <c r="S200" s="230">
        <f t="shared" si="170"/>
        <v>400002000</v>
      </c>
    </row>
    <row r="201" spans="1:19" x14ac:dyDescent="0.25">
      <c r="A201" s="1" t="s">
        <v>318</v>
      </c>
      <c r="C201" s="44" t="s">
        <v>225</v>
      </c>
      <c r="D201" s="45" t="s">
        <v>222</v>
      </c>
      <c r="E201" s="155">
        <v>146317000</v>
      </c>
      <c r="F201" s="155">
        <f>+E201+H201+K201+N201+Q201</f>
        <v>162345140.34999999</v>
      </c>
      <c r="G201" s="155">
        <f>146076040.75+9667099.6</f>
        <v>155743140.34999999</v>
      </c>
      <c r="H201" s="155">
        <v>18606140.350000001</v>
      </c>
      <c r="I201" s="155">
        <f>+E201-G201+H201</f>
        <v>9180000.0000000075</v>
      </c>
      <c r="J201" s="155"/>
      <c r="K201" s="155">
        <v>-6178000</v>
      </c>
      <c r="L201" s="155">
        <f>+I201+K201-J201</f>
        <v>3002000.0000000075</v>
      </c>
      <c r="M201" s="155">
        <v>6602000</v>
      </c>
      <c r="N201" s="155">
        <v>3600000</v>
      </c>
      <c r="O201" s="155">
        <f>+L201+N201-M201</f>
        <v>7.4505805969238281E-9</v>
      </c>
      <c r="P201" s="155"/>
      <c r="Q201" s="155">
        <f>6178000-6178000</f>
        <v>0</v>
      </c>
      <c r="R201" s="230">
        <f>+O201+Q201-P201</f>
        <v>7.4505805969238281E-9</v>
      </c>
      <c r="S201" s="230">
        <f t="shared" si="170"/>
        <v>162345140.34999999</v>
      </c>
    </row>
    <row r="202" spans="1:19" ht="22.5" x14ac:dyDescent="0.25">
      <c r="A202" s="1" t="s">
        <v>320</v>
      </c>
      <c r="C202" s="44" t="s">
        <v>307</v>
      </c>
      <c r="D202" s="45" t="s">
        <v>224</v>
      </c>
      <c r="E202" s="155">
        <f>30000000-29077494</f>
        <v>922506</v>
      </c>
      <c r="F202" s="155">
        <f>+E202+H202+K202+N202+Q202</f>
        <v>0</v>
      </c>
      <c r="G202" s="155"/>
      <c r="H202" s="155"/>
      <c r="I202" s="155">
        <f>+E202-G202+H202</f>
        <v>922506</v>
      </c>
      <c r="J202" s="155"/>
      <c r="K202" s="155">
        <v>-842506</v>
      </c>
      <c r="L202" s="155">
        <f>+I202+K202-J202</f>
        <v>80000</v>
      </c>
      <c r="M202" s="155"/>
      <c r="N202" s="155"/>
      <c r="O202" s="155">
        <f>+L202+N202-M202</f>
        <v>80000</v>
      </c>
      <c r="P202" s="155"/>
      <c r="Q202" s="155">
        <f>-80000+842506-842506</f>
        <v>-80000</v>
      </c>
      <c r="R202" s="230">
        <f>+O202+Q202-P202</f>
        <v>0</v>
      </c>
      <c r="S202" s="230">
        <f t="shared" si="170"/>
        <v>0</v>
      </c>
    </row>
    <row r="203" spans="1:19" x14ac:dyDescent="0.25">
      <c r="A203" s="1" t="s">
        <v>321</v>
      </c>
      <c r="C203" s="44" t="s">
        <v>308</v>
      </c>
      <c r="D203" s="45" t="s">
        <v>186</v>
      </c>
      <c r="E203" s="155">
        <v>360578750</v>
      </c>
      <c r="F203" s="155">
        <f>+E203+H203+K203+N203+Q203</f>
        <v>300578750</v>
      </c>
      <c r="G203" s="155">
        <v>360578750</v>
      </c>
      <c r="H203" s="155"/>
      <c r="I203" s="155">
        <f>+E203-G203+H203</f>
        <v>0</v>
      </c>
      <c r="J203" s="155"/>
      <c r="K203" s="155"/>
      <c r="L203" s="155">
        <f>+I203+K203-J203</f>
        <v>0</v>
      </c>
      <c r="M203" s="155">
        <v>-60000000</v>
      </c>
      <c r="N203" s="155"/>
      <c r="O203" s="155">
        <f>+L203+N203-M203</f>
        <v>60000000</v>
      </c>
      <c r="P203" s="155"/>
      <c r="Q203" s="155">
        <f>-30000000-30000000</f>
        <v>-60000000</v>
      </c>
      <c r="R203" s="230">
        <f>+O203+Q203-P203</f>
        <v>0</v>
      </c>
      <c r="S203" s="230">
        <f t="shared" si="170"/>
        <v>300578750</v>
      </c>
    </row>
    <row r="204" spans="1:19" ht="45" x14ac:dyDescent="0.25">
      <c r="A204" s="96" t="s">
        <v>315</v>
      </c>
      <c r="B204" s="96"/>
      <c r="C204" s="47" t="s">
        <v>226</v>
      </c>
      <c r="D204" s="48" t="s">
        <v>227</v>
      </c>
      <c r="E204" s="107">
        <f>+E205</f>
        <v>4947788622.4500008</v>
      </c>
      <c r="F204" s="49">
        <f t="shared" ref="F204:S204" si="171">+F205</f>
        <v>4002985000.000001</v>
      </c>
      <c r="G204" s="117">
        <f t="shared" si="171"/>
        <v>0</v>
      </c>
      <c r="H204" s="49">
        <f t="shared" si="171"/>
        <v>0</v>
      </c>
      <c r="I204" s="49">
        <f t="shared" si="171"/>
        <v>4947788622.4500008</v>
      </c>
      <c r="J204" s="49">
        <f t="shared" si="171"/>
        <v>4002985000</v>
      </c>
      <c r="K204" s="117">
        <f t="shared" si="171"/>
        <v>-211085622.44999999</v>
      </c>
      <c r="L204" s="117">
        <f t="shared" si="171"/>
        <v>733718000.00000095</v>
      </c>
      <c r="M204" s="49">
        <f t="shared" si="171"/>
        <v>0</v>
      </c>
      <c r="N204" s="49">
        <f t="shared" si="171"/>
        <v>0</v>
      </c>
      <c r="O204" s="49">
        <f t="shared" si="171"/>
        <v>733718000.00000095</v>
      </c>
      <c r="P204" s="49">
        <f t="shared" si="171"/>
        <v>0</v>
      </c>
      <c r="Q204" s="49">
        <f t="shared" si="171"/>
        <v>-733718000</v>
      </c>
      <c r="R204" s="49">
        <f t="shared" si="171"/>
        <v>9.5367431640625E-7</v>
      </c>
      <c r="S204" s="49">
        <f t="shared" si="171"/>
        <v>4002985000</v>
      </c>
    </row>
    <row r="205" spans="1:19" ht="33.75" x14ac:dyDescent="0.25">
      <c r="A205" s="1" t="s">
        <v>318</v>
      </c>
      <c r="C205" s="50" t="s">
        <v>228</v>
      </c>
      <c r="D205" s="51" t="s">
        <v>229</v>
      </c>
      <c r="E205" s="156">
        <v>4947788622.4500008</v>
      </c>
      <c r="F205" s="156">
        <f>+E205+H205+K205+N205+Q205</f>
        <v>4002985000.000001</v>
      </c>
      <c r="G205" s="156"/>
      <c r="H205" s="156"/>
      <c r="I205" s="156">
        <f>+E205-G205+H205</f>
        <v>4947788622.4500008</v>
      </c>
      <c r="J205" s="156">
        <v>4002985000</v>
      </c>
      <c r="K205" s="156">
        <v>-211085622.44999999</v>
      </c>
      <c r="L205" s="156">
        <f>+I205+K205-J205</f>
        <v>733718000.00000095</v>
      </c>
      <c r="M205" s="156"/>
      <c r="N205" s="156"/>
      <c r="O205" s="156">
        <f>+L205+N205-M205</f>
        <v>733718000.00000095</v>
      </c>
      <c r="P205" s="156"/>
      <c r="Q205" s="214">
        <f>211085622.45-944803622.45</f>
        <v>-733718000</v>
      </c>
      <c r="R205" s="231">
        <f>+O205+Q205-P205</f>
        <v>9.5367431640625E-7</v>
      </c>
      <c r="S205" s="231">
        <f>+F205-R205</f>
        <v>4002985000</v>
      </c>
    </row>
    <row r="206" spans="1:19" ht="22.5" x14ac:dyDescent="0.25">
      <c r="A206" s="96" t="s">
        <v>315</v>
      </c>
      <c r="B206" s="96"/>
      <c r="C206" s="52" t="s">
        <v>230</v>
      </c>
      <c r="D206" s="53" t="s">
        <v>231</v>
      </c>
      <c r="E206" s="108">
        <f>+E207+E208</f>
        <v>800000000</v>
      </c>
      <c r="F206" s="54">
        <f t="shared" ref="F206:R206" si="172">+F207+F208</f>
        <v>263066235</v>
      </c>
      <c r="G206" s="118">
        <f t="shared" si="172"/>
        <v>259190000</v>
      </c>
      <c r="H206" s="54">
        <f t="shared" si="172"/>
        <v>0</v>
      </c>
      <c r="I206" s="54">
        <f t="shared" si="172"/>
        <v>540810000</v>
      </c>
      <c r="J206" s="54">
        <f t="shared" si="172"/>
        <v>3876235</v>
      </c>
      <c r="K206" s="118">
        <f t="shared" si="172"/>
        <v>-536933765</v>
      </c>
      <c r="L206" s="118">
        <f t="shared" si="172"/>
        <v>0</v>
      </c>
      <c r="M206" s="54">
        <f t="shared" si="172"/>
        <v>0</v>
      </c>
      <c r="N206" s="54">
        <f t="shared" si="172"/>
        <v>0</v>
      </c>
      <c r="O206" s="54">
        <f t="shared" si="172"/>
        <v>0</v>
      </c>
      <c r="P206" s="54">
        <f t="shared" si="172"/>
        <v>0</v>
      </c>
      <c r="Q206" s="54">
        <f t="shared" si="172"/>
        <v>0</v>
      </c>
      <c r="R206" s="54">
        <f t="shared" si="172"/>
        <v>0</v>
      </c>
      <c r="S206" s="54">
        <f t="shared" ref="S206" si="173">+S207+S208</f>
        <v>263066235</v>
      </c>
    </row>
    <row r="207" spans="1:19" ht="22.5" x14ac:dyDescent="0.25">
      <c r="A207" s="1" t="s">
        <v>329</v>
      </c>
      <c r="C207" s="55" t="s">
        <v>232</v>
      </c>
      <c r="D207" s="56" t="s">
        <v>233</v>
      </c>
      <c r="E207" s="157">
        <v>412400000</v>
      </c>
      <c r="F207" s="157">
        <f>+E207+H207+K207+N207+Q207</f>
        <v>262400000</v>
      </c>
      <c r="G207" s="157">
        <f>222190000+13000000+4000000+7000000+10000000+3000000</f>
        <v>259190000</v>
      </c>
      <c r="H207" s="157"/>
      <c r="I207" s="157">
        <f>+E207-G207+H207</f>
        <v>153210000</v>
      </c>
      <c r="J207" s="157">
        <v>3210000</v>
      </c>
      <c r="K207" s="157">
        <v>-150000000</v>
      </c>
      <c r="L207" s="157">
        <f>+I207+K207-J207</f>
        <v>0</v>
      </c>
      <c r="M207" s="157"/>
      <c r="N207" s="157"/>
      <c r="O207" s="157">
        <f>+L207+N207-M207</f>
        <v>0</v>
      </c>
      <c r="P207" s="157">
        <f>-7000000-5210975+3500000+1000000+7710975</f>
        <v>0</v>
      </c>
      <c r="Q207" s="157"/>
      <c r="R207" s="232">
        <f>+O207+Q207-P207</f>
        <v>0</v>
      </c>
      <c r="S207" s="232">
        <f>+F207-R207</f>
        <v>262400000</v>
      </c>
    </row>
    <row r="208" spans="1:19" ht="22.5" x14ac:dyDescent="0.25">
      <c r="A208" s="96" t="s">
        <v>315</v>
      </c>
      <c r="B208" s="96"/>
      <c r="C208" s="52" t="s">
        <v>234</v>
      </c>
      <c r="D208" s="53" t="s">
        <v>235</v>
      </c>
      <c r="E208" s="108">
        <f>E209+E210</f>
        <v>387600000</v>
      </c>
      <c r="F208" s="54">
        <f t="shared" ref="F208:R208" si="174">F209+F210</f>
        <v>666235</v>
      </c>
      <c r="G208" s="118">
        <f t="shared" si="174"/>
        <v>0</v>
      </c>
      <c r="H208" s="54">
        <f t="shared" si="174"/>
        <v>0</v>
      </c>
      <c r="I208" s="54">
        <f t="shared" si="174"/>
        <v>387600000</v>
      </c>
      <c r="J208" s="54">
        <f t="shared" si="174"/>
        <v>666235</v>
      </c>
      <c r="K208" s="118">
        <f t="shared" si="174"/>
        <v>-386933765</v>
      </c>
      <c r="L208" s="118">
        <f t="shared" si="174"/>
        <v>0</v>
      </c>
      <c r="M208" s="54">
        <f t="shared" si="174"/>
        <v>0</v>
      </c>
      <c r="N208" s="54">
        <f t="shared" si="174"/>
        <v>0</v>
      </c>
      <c r="O208" s="54">
        <f t="shared" si="174"/>
        <v>0</v>
      </c>
      <c r="P208" s="54">
        <f t="shared" si="174"/>
        <v>0</v>
      </c>
      <c r="Q208" s="54">
        <f t="shared" si="174"/>
        <v>0</v>
      </c>
      <c r="R208" s="54">
        <f t="shared" si="174"/>
        <v>0</v>
      </c>
      <c r="S208" s="54">
        <f t="shared" ref="S208" si="175">S209+S210</f>
        <v>666235</v>
      </c>
    </row>
    <row r="209" spans="1:19" x14ac:dyDescent="0.25">
      <c r="A209" s="1" t="s">
        <v>318</v>
      </c>
      <c r="C209" s="55" t="s">
        <v>236</v>
      </c>
      <c r="D209" s="56" t="s">
        <v>237</v>
      </c>
      <c r="E209" s="157">
        <v>200000000</v>
      </c>
      <c r="F209" s="157">
        <f>+E209+H209+K209+N209+Q209</f>
        <v>0</v>
      </c>
      <c r="G209" s="157"/>
      <c r="H209" s="157"/>
      <c r="I209" s="157">
        <f>+E209-G209+H209</f>
        <v>200000000</v>
      </c>
      <c r="J209" s="157"/>
      <c r="K209" s="157">
        <v>-200000000</v>
      </c>
      <c r="L209" s="157">
        <f>+I209+K209-J209</f>
        <v>0</v>
      </c>
      <c r="M209" s="157"/>
      <c r="N209" s="157"/>
      <c r="O209" s="157">
        <f>+L209+N209-M209</f>
        <v>0</v>
      </c>
      <c r="P209" s="157"/>
      <c r="Q209" s="157"/>
      <c r="R209" s="232">
        <f>+O209+Q209-P209</f>
        <v>0</v>
      </c>
      <c r="S209" s="232">
        <f t="shared" ref="S209:S210" si="176">+F209-R209</f>
        <v>0</v>
      </c>
    </row>
    <row r="210" spans="1:19" x14ac:dyDescent="0.25">
      <c r="A210" s="1" t="s">
        <v>318</v>
      </c>
      <c r="C210" s="55" t="s">
        <v>238</v>
      </c>
      <c r="D210" s="56" t="s">
        <v>239</v>
      </c>
      <c r="E210" s="157">
        <f>191852000-4252000</f>
        <v>187600000</v>
      </c>
      <c r="F210" s="157">
        <f>+E210+H210+K210+N210+Q210</f>
        <v>666235</v>
      </c>
      <c r="G210" s="157"/>
      <c r="H210" s="157"/>
      <c r="I210" s="157">
        <f>+E210-G210+H210</f>
        <v>187600000</v>
      </c>
      <c r="J210" s="157">
        <v>666235</v>
      </c>
      <c r="K210" s="157">
        <v>-186933765</v>
      </c>
      <c r="L210" s="157">
        <f>+I210+K210-J210</f>
        <v>0</v>
      </c>
      <c r="M210" s="157"/>
      <c r="N210" s="157"/>
      <c r="O210" s="157">
        <f>+L210+N210-M210</f>
        <v>0</v>
      </c>
      <c r="P210" s="157"/>
      <c r="Q210" s="157"/>
      <c r="R210" s="232">
        <f>+O210+Q210-P210</f>
        <v>0</v>
      </c>
      <c r="S210" s="232">
        <f t="shared" si="176"/>
        <v>666235</v>
      </c>
    </row>
    <row r="211" spans="1:19" x14ac:dyDescent="0.25">
      <c r="A211" s="96" t="s">
        <v>315</v>
      </c>
      <c r="B211" s="96"/>
      <c r="C211" s="57" t="s">
        <v>240</v>
      </c>
      <c r="D211" s="58" t="s">
        <v>241</v>
      </c>
      <c r="E211" s="109">
        <f t="shared" ref="E211:R211" si="177">SUM(E212:E228)</f>
        <v>200000000</v>
      </c>
      <c r="F211" s="59">
        <f t="shared" si="177"/>
        <v>1565323542.0300002</v>
      </c>
      <c r="G211" s="119">
        <f t="shared" si="177"/>
        <v>126203167</v>
      </c>
      <c r="H211" s="59">
        <f t="shared" si="177"/>
        <v>0</v>
      </c>
      <c r="I211" s="59">
        <f t="shared" si="177"/>
        <v>73796833</v>
      </c>
      <c r="J211" s="59">
        <f t="shared" si="177"/>
        <v>40287338</v>
      </c>
      <c r="K211" s="119">
        <f t="shared" si="177"/>
        <v>0</v>
      </c>
      <c r="L211" s="119">
        <f t="shared" si="177"/>
        <v>33509495</v>
      </c>
      <c r="M211" s="59">
        <f t="shared" si="177"/>
        <v>13962609</v>
      </c>
      <c r="N211" s="59">
        <f t="shared" si="177"/>
        <v>0</v>
      </c>
      <c r="O211" s="59">
        <f t="shared" si="177"/>
        <v>19546886</v>
      </c>
      <c r="P211" s="59">
        <f t="shared" si="177"/>
        <v>1382190298.03</v>
      </c>
      <c r="Q211" s="59">
        <f t="shared" si="177"/>
        <v>1365323542.03</v>
      </c>
      <c r="R211" s="59">
        <f t="shared" si="177"/>
        <v>2680130</v>
      </c>
      <c r="S211" s="59">
        <f t="shared" ref="S211" si="178">SUM(S212:S228)</f>
        <v>1562643412.0300002</v>
      </c>
    </row>
    <row r="212" spans="1:19" ht="22.5" x14ac:dyDescent="0.25">
      <c r="A212" s="1" t="s">
        <v>318</v>
      </c>
      <c r="C212" s="60" t="s">
        <v>242</v>
      </c>
      <c r="D212" s="61" t="s">
        <v>243</v>
      </c>
      <c r="E212" s="158">
        <v>45000000</v>
      </c>
      <c r="F212" s="158">
        <f t="shared" ref="F212:F217" si="179">+E212+H212+K212+N212+Q212</f>
        <v>13847778</v>
      </c>
      <c r="G212" s="158">
        <f>1479625+1423660+1423660</f>
        <v>4326945</v>
      </c>
      <c r="H212" s="158"/>
      <c r="I212" s="158">
        <f t="shared" ref="I212:I217" si="180">+E212-G212+H212</f>
        <v>40673055</v>
      </c>
      <c r="J212" s="158">
        <f>1527622+1759716</f>
        <v>3287338</v>
      </c>
      <c r="K212" s="158">
        <v>-20000000</v>
      </c>
      <c r="L212" s="158">
        <f t="shared" ref="L212:L217" si="181">+I212+K212-J212</f>
        <v>17385717</v>
      </c>
      <c r="M212" s="158">
        <f>146213+240748+1348183+1577465</f>
        <v>3312609</v>
      </c>
      <c r="N212" s="158">
        <f>-9152222-2000000</f>
        <v>-11152222</v>
      </c>
      <c r="O212" s="158">
        <f t="shared" ref="O212:O217" si="182">+L212+N212-M212</f>
        <v>2920886</v>
      </c>
      <c r="P212" s="158">
        <v>240748</v>
      </c>
      <c r="Q212" s="158"/>
      <c r="R212" s="183">
        <f t="shared" ref="R212:S217" si="183">+O212+Q212-P212</f>
        <v>2680138</v>
      </c>
      <c r="S212" s="183">
        <f t="shared" ref="S212:S228" si="184">+F212-R212</f>
        <v>11167640</v>
      </c>
    </row>
    <row r="213" spans="1:19" x14ac:dyDescent="0.25">
      <c r="A213" s="1" t="s">
        <v>318</v>
      </c>
      <c r="C213" s="60" t="s">
        <v>244</v>
      </c>
      <c r="D213" s="61" t="s">
        <v>54</v>
      </c>
      <c r="E213" s="158">
        <v>34000000</v>
      </c>
      <c r="F213" s="158">
        <f t="shared" si="179"/>
        <v>31999992</v>
      </c>
      <c r="G213" s="158">
        <v>28000000</v>
      </c>
      <c r="H213" s="158">
        <v>-6000000</v>
      </c>
      <c r="I213" s="158">
        <f t="shared" si="180"/>
        <v>0</v>
      </c>
      <c r="J213" s="158"/>
      <c r="K213" s="158"/>
      <c r="L213" s="158">
        <f t="shared" si="181"/>
        <v>0</v>
      </c>
      <c r="M213" s="158">
        <v>10000000</v>
      </c>
      <c r="N213" s="158">
        <f>8000000+2000000</f>
        <v>10000000</v>
      </c>
      <c r="O213" s="158">
        <f t="shared" si="182"/>
        <v>0</v>
      </c>
      <c r="P213" s="158">
        <v>-6000000</v>
      </c>
      <c r="Q213" s="158">
        <v>-6000008</v>
      </c>
      <c r="R213" s="183">
        <f t="shared" si="183"/>
        <v>-8</v>
      </c>
      <c r="S213" s="183">
        <f t="shared" si="184"/>
        <v>32000000</v>
      </c>
    </row>
    <row r="214" spans="1:19" x14ac:dyDescent="0.25">
      <c r="A214" s="1" t="s">
        <v>318</v>
      </c>
      <c r="C214" s="60" t="s">
        <v>245</v>
      </c>
      <c r="D214" s="61" t="s">
        <v>414</v>
      </c>
      <c r="E214" s="158">
        <v>50000000</v>
      </c>
      <c r="F214" s="158">
        <f t="shared" si="179"/>
        <v>56000000</v>
      </c>
      <c r="G214" s="158">
        <v>56000000</v>
      </c>
      <c r="H214" s="158">
        <v>6000000</v>
      </c>
      <c r="I214" s="158">
        <f t="shared" si="180"/>
        <v>0</v>
      </c>
      <c r="J214" s="158"/>
      <c r="K214" s="158"/>
      <c r="L214" s="158">
        <f t="shared" si="181"/>
        <v>0</v>
      </c>
      <c r="M214" s="158"/>
      <c r="N214" s="158"/>
      <c r="O214" s="158">
        <f t="shared" si="182"/>
        <v>0</v>
      </c>
      <c r="P214" s="158"/>
      <c r="Q214" s="158"/>
      <c r="R214" s="183">
        <f t="shared" si="183"/>
        <v>0</v>
      </c>
      <c r="S214" s="183">
        <f t="shared" si="184"/>
        <v>56000000</v>
      </c>
    </row>
    <row r="215" spans="1:19" ht="22.5" x14ac:dyDescent="0.25">
      <c r="A215" s="1" t="s">
        <v>330</v>
      </c>
      <c r="C215" s="60" t="s">
        <v>246</v>
      </c>
      <c r="D215" s="61" t="s">
        <v>247</v>
      </c>
      <c r="E215" s="158">
        <v>37876222</v>
      </c>
      <c r="F215" s="158">
        <f t="shared" si="179"/>
        <v>37813750</v>
      </c>
      <c r="G215" s="158">
        <v>37876222</v>
      </c>
      <c r="H215" s="158"/>
      <c r="I215" s="158">
        <f t="shared" si="180"/>
        <v>0</v>
      </c>
      <c r="J215" s="158"/>
      <c r="K215" s="158"/>
      <c r="L215" s="158">
        <f t="shared" si="181"/>
        <v>0</v>
      </c>
      <c r="M215" s="158"/>
      <c r="N215" s="158"/>
      <c r="O215" s="158">
        <f t="shared" si="182"/>
        <v>0</v>
      </c>
      <c r="P215" s="158">
        <v>-62472</v>
      </c>
      <c r="Q215" s="158">
        <v>-62472</v>
      </c>
      <c r="R215" s="183">
        <f t="shared" si="183"/>
        <v>0</v>
      </c>
      <c r="S215" s="183">
        <f t="shared" si="184"/>
        <v>37813750</v>
      </c>
    </row>
    <row r="216" spans="1:19" x14ac:dyDescent="0.25">
      <c r="A216" s="1" t="s">
        <v>318</v>
      </c>
      <c r="C216" s="60" t="s">
        <v>248</v>
      </c>
      <c r="D216" s="61" t="s">
        <v>28</v>
      </c>
      <c r="E216" s="158">
        <v>16123778</v>
      </c>
      <c r="F216" s="158">
        <f t="shared" si="179"/>
        <v>0</v>
      </c>
      <c r="G216" s="158"/>
      <c r="H216" s="158"/>
      <c r="I216" s="158">
        <f t="shared" si="180"/>
        <v>16123778</v>
      </c>
      <c r="J216" s="158"/>
      <c r="K216" s="158">
        <f>-10000000-3000000</f>
        <v>-13000000</v>
      </c>
      <c r="L216" s="158">
        <f t="shared" si="181"/>
        <v>3123778</v>
      </c>
      <c r="M216" s="158"/>
      <c r="N216" s="158">
        <v>-3123778</v>
      </c>
      <c r="O216" s="158">
        <f t="shared" si="182"/>
        <v>0</v>
      </c>
      <c r="P216" s="158"/>
      <c r="Q216" s="158"/>
      <c r="R216" s="183">
        <f t="shared" si="183"/>
        <v>0</v>
      </c>
      <c r="S216" s="183">
        <f t="shared" si="184"/>
        <v>0</v>
      </c>
    </row>
    <row r="217" spans="1:19" x14ac:dyDescent="0.25">
      <c r="A217" s="1" t="s">
        <v>318</v>
      </c>
      <c r="C217" s="60" t="s">
        <v>249</v>
      </c>
      <c r="D217" s="61" t="s">
        <v>250</v>
      </c>
      <c r="E217" s="158">
        <v>15000000</v>
      </c>
      <c r="F217" s="158">
        <f t="shared" si="179"/>
        <v>0</v>
      </c>
      <c r="G217" s="158"/>
      <c r="H217" s="158"/>
      <c r="I217" s="158">
        <f t="shared" si="180"/>
        <v>15000000</v>
      </c>
      <c r="J217" s="158"/>
      <c r="K217" s="158">
        <v>-7000000</v>
      </c>
      <c r="L217" s="158">
        <f t="shared" si="181"/>
        <v>8000000</v>
      </c>
      <c r="M217" s="158"/>
      <c r="N217" s="158">
        <v>-8000000</v>
      </c>
      <c r="O217" s="158">
        <f t="shared" si="182"/>
        <v>0</v>
      </c>
      <c r="P217" s="158"/>
      <c r="Q217" s="158"/>
      <c r="R217" s="183">
        <f t="shared" si="183"/>
        <v>0</v>
      </c>
      <c r="S217" s="183">
        <f t="shared" si="184"/>
        <v>0</v>
      </c>
    </row>
    <row r="218" spans="1:19" x14ac:dyDescent="0.25">
      <c r="A218" s="1" t="s">
        <v>318</v>
      </c>
      <c r="C218" s="62" t="s">
        <v>251</v>
      </c>
      <c r="D218" s="61" t="s">
        <v>56</v>
      </c>
      <c r="E218" s="158">
        <v>2000000</v>
      </c>
      <c r="F218" s="158">
        <f t="shared" ref="F218:F222" si="185">+E218+H218+K218+N218+Q218</f>
        <v>0</v>
      </c>
      <c r="G218" s="158"/>
      <c r="H218" s="158"/>
      <c r="I218" s="158">
        <f t="shared" ref="I218:I222" si="186">+E218-G218+H218</f>
        <v>2000000</v>
      </c>
      <c r="J218" s="158"/>
      <c r="K218" s="158"/>
      <c r="L218" s="158">
        <f t="shared" ref="L218:L222" si="187">+I218+K218-J218</f>
        <v>2000000</v>
      </c>
      <c r="M218" s="158"/>
      <c r="N218" s="158">
        <f>-650000-1350000</f>
        <v>-2000000</v>
      </c>
      <c r="O218" s="158">
        <f t="shared" ref="O218:O222" si="188">+L218+N218-M218</f>
        <v>0</v>
      </c>
      <c r="P218" s="158"/>
      <c r="Q218" s="158"/>
      <c r="R218" s="183">
        <f t="shared" ref="R218:S221" si="189">+O218+Q218-P218</f>
        <v>0</v>
      </c>
      <c r="S218" s="183">
        <f t="shared" si="184"/>
        <v>0</v>
      </c>
    </row>
    <row r="219" spans="1:19" x14ac:dyDescent="0.25">
      <c r="A219" s="1" t="s">
        <v>318</v>
      </c>
      <c r="C219" s="62" t="s">
        <v>338</v>
      </c>
      <c r="D219" s="61" t="s">
        <v>336</v>
      </c>
      <c r="E219" s="158">
        <v>0</v>
      </c>
      <c r="F219" s="158">
        <f t="shared" si="185"/>
        <v>37000000</v>
      </c>
      <c r="G219" s="158"/>
      <c r="H219" s="158"/>
      <c r="I219" s="158">
        <f t="shared" si="186"/>
        <v>0</v>
      </c>
      <c r="J219" s="158">
        <v>37000000</v>
      </c>
      <c r="K219" s="158">
        <f>37000000+3000000</f>
        <v>40000000</v>
      </c>
      <c r="L219" s="158">
        <f t="shared" si="187"/>
        <v>3000000</v>
      </c>
      <c r="M219" s="158"/>
      <c r="N219" s="158">
        <v>-2999000</v>
      </c>
      <c r="O219" s="158">
        <f t="shared" si="188"/>
        <v>1000</v>
      </c>
      <c r="P219" s="158"/>
      <c r="Q219" s="158">
        <v>-1000</v>
      </c>
      <c r="R219" s="183">
        <f t="shared" si="189"/>
        <v>0</v>
      </c>
      <c r="S219" s="183">
        <f t="shared" si="184"/>
        <v>37000000</v>
      </c>
    </row>
    <row r="220" spans="1:19" ht="22.5" x14ac:dyDescent="0.25">
      <c r="A220" s="1" t="s">
        <v>322</v>
      </c>
      <c r="C220" s="62" t="s">
        <v>385</v>
      </c>
      <c r="D220" s="61" t="s">
        <v>387</v>
      </c>
      <c r="E220" s="158">
        <v>0</v>
      </c>
      <c r="F220" s="158">
        <f t="shared" si="185"/>
        <v>364650000</v>
      </c>
      <c r="G220" s="158"/>
      <c r="H220" s="158"/>
      <c r="I220" s="158">
        <f t="shared" si="186"/>
        <v>0</v>
      </c>
      <c r="J220" s="158"/>
      <c r="K220" s="158"/>
      <c r="L220" s="158">
        <f t="shared" si="187"/>
        <v>0</v>
      </c>
      <c r="M220" s="158">
        <v>650000</v>
      </c>
      <c r="N220" s="158">
        <v>650000</v>
      </c>
      <c r="O220" s="158">
        <f t="shared" si="188"/>
        <v>0</v>
      </c>
      <c r="P220" s="158">
        <v>364000000</v>
      </c>
      <c r="Q220" s="158">
        <v>364000000</v>
      </c>
      <c r="R220" s="183">
        <f t="shared" si="189"/>
        <v>0</v>
      </c>
      <c r="S220" s="183">
        <f t="shared" si="184"/>
        <v>364650000</v>
      </c>
    </row>
    <row r="221" spans="1:19" x14ac:dyDescent="0.25">
      <c r="A221" s="1" t="s">
        <v>318</v>
      </c>
      <c r="C221" s="62" t="s">
        <v>386</v>
      </c>
      <c r="D221" s="61" t="s">
        <v>384</v>
      </c>
      <c r="E221" s="158">
        <v>0</v>
      </c>
      <c r="F221" s="158">
        <f t="shared" si="185"/>
        <v>0</v>
      </c>
      <c r="G221" s="158"/>
      <c r="H221" s="158"/>
      <c r="I221" s="158">
        <f t="shared" si="186"/>
        <v>0</v>
      </c>
      <c r="J221" s="158"/>
      <c r="K221" s="158"/>
      <c r="L221" s="158">
        <f t="shared" si="187"/>
        <v>0</v>
      </c>
      <c r="M221" s="158"/>
      <c r="N221" s="158">
        <v>16625000</v>
      </c>
      <c r="O221" s="158">
        <f t="shared" si="188"/>
        <v>16625000</v>
      </c>
      <c r="P221" s="158"/>
      <c r="Q221" s="158">
        <v>-16625000</v>
      </c>
      <c r="R221" s="183">
        <f t="shared" si="189"/>
        <v>0</v>
      </c>
      <c r="S221" s="183">
        <f t="shared" si="184"/>
        <v>0</v>
      </c>
    </row>
    <row r="222" spans="1:19" ht="22.5" x14ac:dyDescent="0.25">
      <c r="A222" s="1" t="s">
        <v>326</v>
      </c>
      <c r="C222" s="62" t="s">
        <v>415</v>
      </c>
      <c r="D222" s="61" t="s">
        <v>417</v>
      </c>
      <c r="E222" s="158">
        <v>0</v>
      </c>
      <c r="F222" s="158">
        <f t="shared" si="185"/>
        <v>22688472</v>
      </c>
      <c r="G222" s="158"/>
      <c r="H222" s="158"/>
      <c r="I222" s="158">
        <f t="shared" si="186"/>
        <v>0</v>
      </c>
      <c r="J222" s="158"/>
      <c r="K222" s="158"/>
      <c r="L222" s="158">
        <f t="shared" si="187"/>
        <v>0</v>
      </c>
      <c r="M222" s="158"/>
      <c r="N222" s="158"/>
      <c r="O222" s="158">
        <f t="shared" si="188"/>
        <v>0</v>
      </c>
      <c r="P222" s="158">
        <f>17000000+2000000+2000000+1688472</f>
        <v>22688472</v>
      </c>
      <c r="Q222" s="158">
        <v>22688472</v>
      </c>
      <c r="R222" s="183">
        <f t="shared" ref="R222:S222" si="190">+O222+Q222-P222</f>
        <v>0</v>
      </c>
      <c r="S222" s="183">
        <f t="shared" si="184"/>
        <v>22688472</v>
      </c>
    </row>
    <row r="223" spans="1:19" x14ac:dyDescent="0.25">
      <c r="A223" s="1" t="s">
        <v>318</v>
      </c>
      <c r="C223" s="62" t="s">
        <v>418</v>
      </c>
      <c r="D223" s="61" t="s">
        <v>421</v>
      </c>
      <c r="E223" s="158">
        <v>0</v>
      </c>
      <c r="F223" s="158">
        <f t="shared" ref="F223:F228" si="191">+E223+H223+K223+N223+Q223</f>
        <v>619330000</v>
      </c>
      <c r="G223" s="158"/>
      <c r="H223" s="158"/>
      <c r="I223" s="158">
        <f t="shared" ref="I223:I228" si="192">+E223-G223+H223</f>
        <v>0</v>
      </c>
      <c r="J223" s="158"/>
      <c r="K223" s="158"/>
      <c r="L223" s="158">
        <f t="shared" ref="L223:L228" si="193">+I223+K223-J223</f>
        <v>0</v>
      </c>
      <c r="M223" s="158"/>
      <c r="N223" s="158"/>
      <c r="O223" s="158">
        <f t="shared" ref="O223:O228" si="194">+L223+N223-M223</f>
        <v>0</v>
      </c>
      <c r="P223" s="158">
        <v>619330000</v>
      </c>
      <c r="Q223" s="158">
        <f>700000000-21432000-59238000</f>
        <v>619330000</v>
      </c>
      <c r="R223" s="183">
        <f t="shared" ref="R223:S228" si="195">+O223+Q223-P223</f>
        <v>0</v>
      </c>
      <c r="S223" s="183">
        <f t="shared" si="184"/>
        <v>619330000</v>
      </c>
    </row>
    <row r="224" spans="1:19" ht="22.5" x14ac:dyDescent="0.25">
      <c r="A224" s="1" t="s">
        <v>320</v>
      </c>
      <c r="C224" s="62" t="s">
        <v>419</v>
      </c>
      <c r="D224" s="61" t="s">
        <v>258</v>
      </c>
      <c r="E224" s="158">
        <v>0</v>
      </c>
      <c r="F224" s="158">
        <f t="shared" si="191"/>
        <v>67830960.650000006</v>
      </c>
      <c r="G224" s="158"/>
      <c r="H224" s="158"/>
      <c r="I224" s="158">
        <f t="shared" si="192"/>
        <v>0</v>
      </c>
      <c r="J224" s="158"/>
      <c r="K224" s="158"/>
      <c r="L224" s="158">
        <f t="shared" si="193"/>
        <v>0</v>
      </c>
      <c r="M224" s="158"/>
      <c r="N224" s="158"/>
      <c r="O224" s="158">
        <f t="shared" si="194"/>
        <v>0</v>
      </c>
      <c r="P224" s="158">
        <f>3520293.36+22035000+10712832+4000000+5000000+8833835.29+13729000</f>
        <v>67830960.650000006</v>
      </c>
      <c r="Q224" s="158">
        <f>128455975-74354014.35+13729000</f>
        <v>67830960.650000006</v>
      </c>
      <c r="R224" s="183">
        <f t="shared" si="195"/>
        <v>0</v>
      </c>
      <c r="S224" s="183">
        <f t="shared" si="184"/>
        <v>67830960.650000006</v>
      </c>
    </row>
    <row r="225" spans="1:19" ht="22.5" x14ac:dyDescent="0.25">
      <c r="A225" s="1" t="s">
        <v>320</v>
      </c>
      <c r="C225" s="62" t="s">
        <v>420</v>
      </c>
      <c r="D225" s="61" t="s">
        <v>379</v>
      </c>
      <c r="E225" s="158">
        <v>0</v>
      </c>
      <c r="F225" s="158">
        <f t="shared" si="191"/>
        <v>233021588.38</v>
      </c>
      <c r="G225" s="158"/>
      <c r="H225" s="158"/>
      <c r="I225" s="158">
        <f t="shared" si="192"/>
        <v>0</v>
      </c>
      <c r="J225" s="158"/>
      <c r="K225" s="158"/>
      <c r="L225" s="158">
        <f t="shared" si="193"/>
        <v>0</v>
      </c>
      <c r="M225" s="158"/>
      <c r="N225" s="158"/>
      <c r="O225" s="158">
        <f t="shared" si="194"/>
        <v>0</v>
      </c>
      <c r="P225" s="158">
        <f>25426815+12621900+6767370+57864495+12120456+15680000+22842000+1534072.38+48880000+15280400+2004080+12000000</f>
        <v>233021588.38</v>
      </c>
      <c r="Q225" s="158">
        <f>143367575.03+77654013.35+12000000</f>
        <v>233021588.38</v>
      </c>
      <c r="R225" s="233">
        <f t="shared" si="195"/>
        <v>0</v>
      </c>
      <c r="S225" s="233">
        <f t="shared" si="184"/>
        <v>233021588.38</v>
      </c>
    </row>
    <row r="226" spans="1:19" ht="22.5" x14ac:dyDescent="0.25">
      <c r="C226" s="62" t="s">
        <v>423</v>
      </c>
      <c r="D226" s="61" t="s">
        <v>422</v>
      </c>
      <c r="E226" s="158">
        <v>0</v>
      </c>
      <c r="F226" s="158">
        <f t="shared" ref="F226:F227" si="196">+E226+H226+K226+N226+Q226</f>
        <v>26200001</v>
      </c>
      <c r="G226" s="158"/>
      <c r="H226" s="158"/>
      <c r="I226" s="158">
        <f t="shared" ref="I226:I227" si="197">+E226-G226+H226</f>
        <v>0</v>
      </c>
      <c r="J226" s="158"/>
      <c r="K226" s="158"/>
      <c r="L226" s="158">
        <f t="shared" ref="L226:L227" si="198">+I226+K226-J226</f>
        <v>0</v>
      </c>
      <c r="M226" s="158"/>
      <c r="N226" s="158"/>
      <c r="O226" s="158">
        <f t="shared" ref="O226:O227" si="199">+L226+N226-M226</f>
        <v>0</v>
      </c>
      <c r="P226" s="158">
        <f>4000000+7000000+7000000+4500000+3700001</f>
        <v>26200001</v>
      </c>
      <c r="Q226" s="158">
        <f>29500000-3299999</f>
        <v>26200001</v>
      </c>
      <c r="R226" s="183">
        <f t="shared" ref="R226:S227" si="200">+O226+Q226-P226</f>
        <v>0</v>
      </c>
      <c r="S226" s="183">
        <f t="shared" si="184"/>
        <v>26200001</v>
      </c>
    </row>
    <row r="227" spans="1:19" ht="22.5" x14ac:dyDescent="0.25">
      <c r="A227" s="1" t="s">
        <v>320</v>
      </c>
      <c r="C227" s="62" t="s">
        <v>431</v>
      </c>
      <c r="D227" s="61" t="s">
        <v>233</v>
      </c>
      <c r="E227" s="158">
        <v>0</v>
      </c>
      <c r="F227" s="158">
        <f t="shared" si="196"/>
        <v>21432000</v>
      </c>
      <c r="G227" s="158"/>
      <c r="H227" s="158"/>
      <c r="I227" s="158">
        <f t="shared" si="197"/>
        <v>0</v>
      </c>
      <c r="J227" s="158"/>
      <c r="K227" s="158"/>
      <c r="L227" s="158">
        <f t="shared" si="198"/>
        <v>0</v>
      </c>
      <c r="M227" s="158"/>
      <c r="N227" s="158"/>
      <c r="O227" s="158">
        <f t="shared" si="199"/>
        <v>0</v>
      </c>
      <c r="P227" s="158">
        <v>21432000</v>
      </c>
      <c r="Q227" s="158">
        <v>21432000</v>
      </c>
      <c r="R227" s="183">
        <f t="shared" si="200"/>
        <v>0</v>
      </c>
      <c r="S227" s="183">
        <f t="shared" si="184"/>
        <v>21432000</v>
      </c>
    </row>
    <row r="228" spans="1:19" ht="22.5" x14ac:dyDescent="0.25">
      <c r="A228" s="1" t="s">
        <v>318</v>
      </c>
      <c r="C228" s="62" t="s">
        <v>432</v>
      </c>
      <c r="D228" s="61" t="s">
        <v>220</v>
      </c>
      <c r="E228" s="158">
        <v>0</v>
      </c>
      <c r="F228" s="158">
        <f t="shared" si="191"/>
        <v>33509000</v>
      </c>
      <c r="G228" s="158"/>
      <c r="H228" s="158"/>
      <c r="I228" s="158">
        <f t="shared" si="192"/>
        <v>0</v>
      </c>
      <c r="J228" s="158"/>
      <c r="K228" s="158"/>
      <c r="L228" s="158">
        <f t="shared" si="193"/>
        <v>0</v>
      </c>
      <c r="M228" s="158"/>
      <c r="N228" s="158"/>
      <c r="O228" s="158">
        <f t="shared" si="194"/>
        <v>0</v>
      </c>
      <c r="P228" s="158">
        <v>33509000</v>
      </c>
      <c r="Q228" s="158">
        <v>33509000</v>
      </c>
      <c r="R228" s="183">
        <f t="shared" si="195"/>
        <v>0</v>
      </c>
      <c r="S228" s="183">
        <f t="shared" si="184"/>
        <v>33509000</v>
      </c>
    </row>
    <row r="229" spans="1:19" x14ac:dyDescent="0.25">
      <c r="A229" s="96" t="s">
        <v>315</v>
      </c>
      <c r="B229" s="96"/>
      <c r="C229" s="63" t="s">
        <v>252</v>
      </c>
      <c r="D229" s="64" t="s">
        <v>253</v>
      </c>
      <c r="E229" s="110">
        <f>+E230+E231+E232+E233+E234+E235+E236+E237</f>
        <v>500000000</v>
      </c>
      <c r="F229" s="110">
        <f t="shared" ref="F229:R229" si="201">+F230+F231+F232+F233+F234+F235+F236+F237</f>
        <v>500000000</v>
      </c>
      <c r="G229" s="110">
        <f t="shared" si="201"/>
        <v>16451000</v>
      </c>
      <c r="H229" s="110">
        <f t="shared" si="201"/>
        <v>0</v>
      </c>
      <c r="I229" s="110">
        <f t="shared" si="201"/>
        <v>483549000</v>
      </c>
      <c r="J229" s="110">
        <f t="shared" si="201"/>
        <v>50916440</v>
      </c>
      <c r="K229" s="110">
        <f t="shared" si="201"/>
        <v>0</v>
      </c>
      <c r="L229" s="110">
        <f t="shared" si="201"/>
        <v>432632560</v>
      </c>
      <c r="M229" s="110">
        <f t="shared" si="201"/>
        <v>-67367440</v>
      </c>
      <c r="N229" s="110">
        <f t="shared" si="201"/>
        <v>0</v>
      </c>
      <c r="O229" s="110">
        <f t="shared" si="201"/>
        <v>500000000</v>
      </c>
      <c r="P229" s="110">
        <f t="shared" si="201"/>
        <v>0</v>
      </c>
      <c r="Q229" s="110">
        <f t="shared" si="201"/>
        <v>0</v>
      </c>
      <c r="R229" s="65">
        <f t="shared" si="201"/>
        <v>500000000</v>
      </c>
      <c r="S229" s="65">
        <f t="shared" ref="S229" si="202">+S230+S231+S232+S233+S234+S235+S236+S237</f>
        <v>0</v>
      </c>
    </row>
    <row r="230" spans="1:19" ht="22.5" x14ac:dyDescent="0.25">
      <c r="A230" s="1" t="s">
        <v>326</v>
      </c>
      <c r="C230" s="66" t="s">
        <v>254</v>
      </c>
      <c r="D230" s="67" t="s">
        <v>210</v>
      </c>
      <c r="E230" s="159">
        <v>400000000</v>
      </c>
      <c r="F230" s="159">
        <f t="shared" ref="F230:F234" si="203">+E230+H230+K230+N230+Q230</f>
        <v>301253750</v>
      </c>
      <c r="G230" s="159">
        <f>8801000+7650000</f>
        <v>16451000</v>
      </c>
      <c r="H230" s="159"/>
      <c r="I230" s="159">
        <f>+E230-G230+H230</f>
        <v>383549000</v>
      </c>
      <c r="J230" s="159">
        <v>21634725</v>
      </c>
      <c r="K230" s="159">
        <f>-60281715-38464535</f>
        <v>-98746250</v>
      </c>
      <c r="L230" s="159">
        <f>+I230+K230-J230</f>
        <v>263168025</v>
      </c>
      <c r="M230" s="159">
        <f>13500000-8801000-7650000-13500000-21634725</f>
        <v>-38085725</v>
      </c>
      <c r="N230" s="159"/>
      <c r="O230" s="159">
        <f>+L230+N230-M230</f>
        <v>301253750</v>
      </c>
      <c r="P230" s="159"/>
      <c r="Q230" s="159"/>
      <c r="R230" s="234">
        <f>+O230+Q230-P230</f>
        <v>301253750</v>
      </c>
      <c r="S230" s="234">
        <f t="shared" ref="S230:S237" si="204">+F230-R230</f>
        <v>0</v>
      </c>
    </row>
    <row r="231" spans="1:19" x14ac:dyDescent="0.25">
      <c r="A231" s="1" t="s">
        <v>320</v>
      </c>
      <c r="C231" s="66" t="s">
        <v>255</v>
      </c>
      <c r="D231" s="67" t="s">
        <v>256</v>
      </c>
      <c r="E231" s="160">
        <v>50000000</v>
      </c>
      <c r="F231" s="160">
        <f t="shared" si="203"/>
        <v>50000000</v>
      </c>
      <c r="G231" s="160"/>
      <c r="H231" s="160"/>
      <c r="I231" s="160">
        <f>+E231-G231+H231</f>
        <v>50000000</v>
      </c>
      <c r="J231" s="160">
        <v>4000000</v>
      </c>
      <c r="K231" s="160"/>
      <c r="L231" s="160">
        <f>+I231+K231-J231</f>
        <v>46000000</v>
      </c>
      <c r="M231" s="160">
        <v>-4000000</v>
      </c>
      <c r="N231" s="160"/>
      <c r="O231" s="160">
        <f>+L231+N231-M231</f>
        <v>50000000</v>
      </c>
      <c r="P231" s="160"/>
      <c r="Q231" s="160"/>
      <c r="R231" s="235">
        <f>+O231+Q231-P231</f>
        <v>50000000</v>
      </c>
      <c r="S231" s="235">
        <f t="shared" si="204"/>
        <v>0</v>
      </c>
    </row>
    <row r="232" spans="1:19" ht="22.5" x14ac:dyDescent="0.25">
      <c r="A232" s="1" t="s">
        <v>320</v>
      </c>
      <c r="C232" s="66" t="s">
        <v>257</v>
      </c>
      <c r="D232" s="67" t="s">
        <v>258</v>
      </c>
      <c r="E232" s="160">
        <v>50000000</v>
      </c>
      <c r="F232" s="160">
        <f t="shared" si="203"/>
        <v>50000000</v>
      </c>
      <c r="G232" s="160"/>
      <c r="H232" s="160"/>
      <c r="I232" s="160">
        <f>+E232-G232+H232</f>
        <v>50000000</v>
      </c>
      <c r="J232" s="160"/>
      <c r="K232" s="160"/>
      <c r="L232" s="160">
        <f>+I232+K232-J232</f>
        <v>50000000</v>
      </c>
      <c r="M232" s="160"/>
      <c r="N232" s="160"/>
      <c r="O232" s="160">
        <f>+L232+N232-M232</f>
        <v>50000000</v>
      </c>
      <c r="P232" s="160"/>
      <c r="Q232" s="160"/>
      <c r="R232" s="235">
        <f>+O232+Q232-P232</f>
        <v>50000000</v>
      </c>
      <c r="S232" s="235">
        <f t="shared" si="204"/>
        <v>0</v>
      </c>
    </row>
    <row r="233" spans="1:19" x14ac:dyDescent="0.25">
      <c r="A233" s="1" t="s">
        <v>318</v>
      </c>
      <c r="C233" s="66" t="s">
        <v>371</v>
      </c>
      <c r="D233" s="67" t="s">
        <v>374</v>
      </c>
      <c r="E233" s="160">
        <v>0</v>
      </c>
      <c r="F233" s="160">
        <f t="shared" si="203"/>
        <v>10000000</v>
      </c>
      <c r="G233" s="160"/>
      <c r="H233" s="160"/>
      <c r="I233" s="160">
        <f t="shared" ref="I233:I234" si="205">+E233-G233+H233</f>
        <v>0</v>
      </c>
      <c r="J233" s="160"/>
      <c r="K233" s="160">
        <v>10000000</v>
      </c>
      <c r="L233" s="160">
        <f t="shared" ref="L233:L234" si="206">+I233+K233-J233</f>
        <v>10000000</v>
      </c>
      <c r="M233" s="160"/>
      <c r="N233" s="160"/>
      <c r="O233" s="160">
        <f t="shared" ref="O233:O234" si="207">+L233+N233-M233</f>
        <v>10000000</v>
      </c>
      <c r="P233" s="160"/>
      <c r="Q233" s="160"/>
      <c r="R233" s="235">
        <f t="shared" ref="R233:S234" si="208">+O233+Q233-P233</f>
        <v>10000000</v>
      </c>
      <c r="S233" s="235">
        <f t="shared" si="204"/>
        <v>0</v>
      </c>
    </row>
    <row r="234" spans="1:19" ht="22.5" x14ac:dyDescent="0.25">
      <c r="A234" s="1" t="s">
        <v>318</v>
      </c>
      <c r="C234" s="66" t="s">
        <v>372</v>
      </c>
      <c r="D234" s="67" t="s">
        <v>375</v>
      </c>
      <c r="E234" s="160">
        <v>0</v>
      </c>
      <c r="F234" s="160">
        <f t="shared" si="203"/>
        <v>25000000</v>
      </c>
      <c r="G234" s="160"/>
      <c r="H234" s="160"/>
      <c r="I234" s="160">
        <f t="shared" si="205"/>
        <v>0</v>
      </c>
      <c r="J234" s="160"/>
      <c r="K234" s="160">
        <v>25000000</v>
      </c>
      <c r="L234" s="160">
        <f t="shared" si="206"/>
        <v>25000000</v>
      </c>
      <c r="M234" s="160"/>
      <c r="N234" s="160"/>
      <c r="O234" s="160">
        <f t="shared" si="207"/>
        <v>25000000</v>
      </c>
      <c r="P234" s="160"/>
      <c r="Q234" s="160"/>
      <c r="R234" s="235">
        <f t="shared" si="208"/>
        <v>25000000</v>
      </c>
      <c r="S234" s="235">
        <f t="shared" si="204"/>
        <v>0</v>
      </c>
    </row>
    <row r="235" spans="1:19" ht="22.5" x14ac:dyDescent="0.25">
      <c r="A235" s="1" t="s">
        <v>320</v>
      </c>
      <c r="C235" s="66" t="s">
        <v>373</v>
      </c>
      <c r="D235" s="67" t="s">
        <v>376</v>
      </c>
      <c r="E235" s="160">
        <v>0</v>
      </c>
      <c r="F235" s="160">
        <f t="shared" ref="F235" si="209">+E235+H235+K235+N235+Q235</f>
        <v>40943250</v>
      </c>
      <c r="G235" s="160"/>
      <c r="H235" s="160"/>
      <c r="I235" s="160">
        <f t="shared" ref="I235" si="210">+E235-G235+H235</f>
        <v>0</v>
      </c>
      <c r="J235" s="160">
        <v>25281715</v>
      </c>
      <c r="K235" s="160">
        <f>25281715+15661535</f>
        <v>40943250</v>
      </c>
      <c r="L235" s="160">
        <f t="shared" ref="L235" si="211">+I235+K235-J235</f>
        <v>15661535</v>
      </c>
      <c r="M235" s="160">
        <f>8161535-25281715-8161535</f>
        <v>-25281715</v>
      </c>
      <c r="N235" s="160"/>
      <c r="O235" s="160">
        <f t="shared" ref="O235" si="212">+L235+N235-M235</f>
        <v>40943250</v>
      </c>
      <c r="P235" s="160"/>
      <c r="Q235" s="160"/>
      <c r="R235" s="235">
        <f>+O235+Q235-P235</f>
        <v>40943250</v>
      </c>
      <c r="S235" s="235">
        <f t="shared" si="204"/>
        <v>0</v>
      </c>
    </row>
    <row r="236" spans="1:19" x14ac:dyDescent="0.25">
      <c r="A236" s="1" t="s">
        <v>318</v>
      </c>
      <c r="C236" s="66" t="s">
        <v>381</v>
      </c>
      <c r="D236" s="67" t="s">
        <v>42</v>
      </c>
      <c r="E236" s="160">
        <v>0</v>
      </c>
      <c r="F236" s="160">
        <f t="shared" ref="F236" si="213">+E236+H236+K236+N236+Q236</f>
        <v>16625000</v>
      </c>
      <c r="G236" s="160"/>
      <c r="H236" s="160"/>
      <c r="I236" s="160">
        <f t="shared" ref="I236" si="214">+E236-G236+H236</f>
        <v>0</v>
      </c>
      <c r="J236" s="160"/>
      <c r="K236" s="160">
        <v>16625000</v>
      </c>
      <c r="L236" s="160">
        <f t="shared" ref="L236" si="215">+I236+K236-J236</f>
        <v>16625000</v>
      </c>
      <c r="M236" s="160">
        <f>16625000-16625000</f>
        <v>0</v>
      </c>
      <c r="N236" s="160"/>
      <c r="O236" s="160">
        <f t="shared" ref="O236" si="216">+L236+N236-M236</f>
        <v>16625000</v>
      </c>
      <c r="P236" s="160"/>
      <c r="Q236" s="160"/>
      <c r="R236" s="235">
        <f t="shared" ref="R236:S236" si="217">+O236+Q236-P236</f>
        <v>16625000</v>
      </c>
      <c r="S236" s="235">
        <f t="shared" si="204"/>
        <v>0</v>
      </c>
    </row>
    <row r="237" spans="1:19" x14ac:dyDescent="0.25">
      <c r="A237" s="1" t="s">
        <v>318</v>
      </c>
      <c r="C237" s="66" t="s">
        <v>382</v>
      </c>
      <c r="D237" s="67" t="s">
        <v>380</v>
      </c>
      <c r="E237" s="160">
        <v>0</v>
      </c>
      <c r="F237" s="160">
        <f t="shared" ref="F237" si="218">+E237+H237+K237+N237+Q237</f>
        <v>6178000</v>
      </c>
      <c r="G237" s="160"/>
      <c r="H237" s="160"/>
      <c r="I237" s="160">
        <f t="shared" ref="I237" si="219">+E237-G237+H237</f>
        <v>0</v>
      </c>
      <c r="J237" s="160"/>
      <c r="K237" s="160">
        <v>6178000</v>
      </c>
      <c r="L237" s="160">
        <f t="shared" ref="L237" si="220">+I237+K237-J237</f>
        <v>6178000</v>
      </c>
      <c r="M237" s="160">
        <f>6178000-6178000</f>
        <v>0</v>
      </c>
      <c r="N237" s="160"/>
      <c r="O237" s="160">
        <f t="shared" ref="O237" si="221">+L237+N237-M237</f>
        <v>6178000</v>
      </c>
      <c r="P237" s="160"/>
      <c r="Q237" s="160"/>
      <c r="R237" s="235">
        <f t="shared" ref="R237:S237" si="222">+O237+Q237-P237</f>
        <v>6178000</v>
      </c>
      <c r="S237" s="235">
        <f t="shared" si="204"/>
        <v>0</v>
      </c>
    </row>
    <row r="238" spans="1:19" s="96" customFormat="1" x14ac:dyDescent="0.25">
      <c r="A238" s="96" t="s">
        <v>315</v>
      </c>
      <c r="C238" s="188" t="s">
        <v>396</v>
      </c>
      <c r="D238" s="189" t="s">
        <v>397</v>
      </c>
      <c r="E238" s="190">
        <f>+E239</f>
        <v>0</v>
      </c>
      <c r="F238" s="190">
        <f>+F239+F242+F243</f>
        <v>357803453.92999995</v>
      </c>
      <c r="G238" s="190">
        <f t="shared" ref="G238:R238" si="223">+G239+G242+G243</f>
        <v>0</v>
      </c>
      <c r="H238" s="190">
        <f t="shared" si="223"/>
        <v>0</v>
      </c>
      <c r="I238" s="190">
        <f t="shared" si="223"/>
        <v>0</v>
      </c>
      <c r="J238" s="190">
        <f t="shared" si="223"/>
        <v>0</v>
      </c>
      <c r="K238" s="190">
        <f t="shared" si="223"/>
        <v>0</v>
      </c>
      <c r="L238" s="190">
        <f t="shared" si="223"/>
        <v>0</v>
      </c>
      <c r="M238" s="190">
        <f t="shared" si="223"/>
        <v>162263023.02000001</v>
      </c>
      <c r="N238" s="190">
        <f t="shared" si="223"/>
        <v>162263023.02000001</v>
      </c>
      <c r="O238" s="190">
        <f t="shared" si="223"/>
        <v>0</v>
      </c>
      <c r="P238" s="190">
        <f t="shared" si="223"/>
        <v>195540430.91</v>
      </c>
      <c r="Q238" s="190">
        <f t="shared" si="223"/>
        <v>195540430.91</v>
      </c>
      <c r="R238" s="236">
        <f t="shared" si="223"/>
        <v>0</v>
      </c>
      <c r="S238" s="236">
        <f t="shared" ref="S238" si="224">+S239+S242+S243</f>
        <v>357803453.92999995</v>
      </c>
    </row>
    <row r="239" spans="1:19" s="96" customFormat="1" ht="22.5" x14ac:dyDescent="0.25">
      <c r="A239" s="96" t="s">
        <v>315</v>
      </c>
      <c r="C239" s="188" t="s">
        <v>400</v>
      </c>
      <c r="D239" s="189" t="s">
        <v>235</v>
      </c>
      <c r="E239" s="190">
        <f>+E240+E241+E242+E243</f>
        <v>0</v>
      </c>
      <c r="F239" s="190">
        <f>+F240+F241</f>
        <v>286180023.01999998</v>
      </c>
      <c r="G239" s="190">
        <f t="shared" ref="G239:R239" si="225">+G240+G241</f>
        <v>0</v>
      </c>
      <c r="H239" s="190">
        <f t="shared" si="225"/>
        <v>0</v>
      </c>
      <c r="I239" s="190">
        <f t="shared" si="225"/>
        <v>0</v>
      </c>
      <c r="J239" s="190">
        <f t="shared" si="225"/>
        <v>0</v>
      </c>
      <c r="K239" s="190">
        <f t="shared" si="225"/>
        <v>0</v>
      </c>
      <c r="L239" s="190">
        <f t="shared" si="225"/>
        <v>0</v>
      </c>
      <c r="M239" s="190">
        <f t="shared" si="225"/>
        <v>162263023.02000001</v>
      </c>
      <c r="N239" s="190">
        <f t="shared" si="225"/>
        <v>162263023.02000001</v>
      </c>
      <c r="O239" s="190">
        <f t="shared" si="225"/>
        <v>0</v>
      </c>
      <c r="P239" s="190">
        <f t="shared" si="225"/>
        <v>123917000</v>
      </c>
      <c r="Q239" s="190">
        <f t="shared" si="225"/>
        <v>123917000</v>
      </c>
      <c r="R239" s="236">
        <f t="shared" si="225"/>
        <v>0</v>
      </c>
      <c r="S239" s="236">
        <f t="shared" ref="S239" si="226">+S240+S241</f>
        <v>286180023.01999998</v>
      </c>
    </row>
    <row r="240" spans="1:19" ht="22.5" x14ac:dyDescent="0.25">
      <c r="A240" s="1" t="s">
        <v>318</v>
      </c>
      <c r="C240" s="185" t="s">
        <v>398</v>
      </c>
      <c r="D240" s="186" t="s">
        <v>219</v>
      </c>
      <c r="E240" s="187">
        <v>0</v>
      </c>
      <c r="F240" s="187">
        <f t="shared" ref="F240:F247" si="227">+E240+H240+K240+N240+Q240</f>
        <v>245000000</v>
      </c>
      <c r="G240" s="187"/>
      <c r="H240" s="187"/>
      <c r="I240" s="187">
        <f t="shared" ref="I240:I243" si="228">+E240-G240+H240</f>
        <v>0</v>
      </c>
      <c r="J240" s="187"/>
      <c r="K240" s="187">
        <v>0</v>
      </c>
      <c r="L240" s="187">
        <f t="shared" ref="L240:L243" si="229">+I240+K240-J240</f>
        <v>0</v>
      </c>
      <c r="M240" s="187">
        <v>140000000</v>
      </c>
      <c r="N240" s="187">
        <v>140000000</v>
      </c>
      <c r="O240" s="187">
        <f t="shared" ref="O240:O243" si="230">+L240+N240-M240</f>
        <v>0</v>
      </c>
      <c r="P240" s="187">
        <v>105000000</v>
      </c>
      <c r="Q240" s="187">
        <v>105000000</v>
      </c>
      <c r="R240" s="237">
        <f t="shared" ref="R240:S243" si="231">+O240+Q240-P240</f>
        <v>0</v>
      </c>
      <c r="S240" s="237">
        <f t="shared" ref="S240:S243" si="232">+F240-R240</f>
        <v>245000000</v>
      </c>
    </row>
    <row r="241" spans="1:19" ht="22.5" x14ac:dyDescent="0.25">
      <c r="A241" s="1" t="s">
        <v>318</v>
      </c>
      <c r="C241" s="185" t="s">
        <v>399</v>
      </c>
      <c r="D241" s="186" t="s">
        <v>220</v>
      </c>
      <c r="E241" s="187">
        <v>0</v>
      </c>
      <c r="F241" s="187">
        <f t="shared" ref="F241:F242" si="233">+E241+H241+K241+N241+Q241</f>
        <v>41180023.019999996</v>
      </c>
      <c r="G241" s="187"/>
      <c r="H241" s="187"/>
      <c r="I241" s="187">
        <f t="shared" ref="I241:I242" si="234">+E241-G241+H241</f>
        <v>0</v>
      </c>
      <c r="J241" s="187"/>
      <c r="K241" s="187">
        <v>0</v>
      </c>
      <c r="L241" s="187">
        <f t="shared" ref="L241:L242" si="235">+I241+K241-J241</f>
        <v>0</v>
      </c>
      <c r="M241" s="187">
        <v>22263023.02</v>
      </c>
      <c r="N241" s="187">
        <v>22263023.02</v>
      </c>
      <c r="O241" s="187">
        <f t="shared" ref="O241:O242" si="236">+L241+N241-M241</f>
        <v>0</v>
      </c>
      <c r="P241" s="187">
        <v>18917000</v>
      </c>
      <c r="Q241" s="187">
        <v>18917000</v>
      </c>
      <c r="R241" s="237">
        <f t="shared" ref="R241:S242" si="237">+O241+Q241-P241</f>
        <v>0</v>
      </c>
      <c r="S241" s="237">
        <f t="shared" si="232"/>
        <v>41180023.019999996</v>
      </c>
    </row>
    <row r="242" spans="1:19" ht="22.5" x14ac:dyDescent="0.25">
      <c r="A242" s="1" t="s">
        <v>318</v>
      </c>
      <c r="C242" s="185" t="s">
        <v>424</v>
      </c>
      <c r="D242" s="186" t="s">
        <v>210</v>
      </c>
      <c r="E242" s="187">
        <v>0</v>
      </c>
      <c r="F242" s="187">
        <f t="shared" si="233"/>
        <v>40000000</v>
      </c>
      <c r="G242" s="187"/>
      <c r="H242" s="187"/>
      <c r="I242" s="187">
        <f t="shared" si="234"/>
        <v>0</v>
      </c>
      <c r="J242" s="187"/>
      <c r="K242" s="187">
        <v>0</v>
      </c>
      <c r="L242" s="187">
        <f t="shared" si="235"/>
        <v>0</v>
      </c>
      <c r="M242" s="187"/>
      <c r="N242" s="187"/>
      <c r="O242" s="187">
        <f t="shared" si="236"/>
        <v>0</v>
      </c>
      <c r="P242" s="187">
        <v>40000000</v>
      </c>
      <c r="Q242" s="187">
        <v>40000000</v>
      </c>
      <c r="R242" s="237">
        <f t="shared" si="237"/>
        <v>0</v>
      </c>
      <c r="S242" s="237">
        <f t="shared" si="232"/>
        <v>40000000</v>
      </c>
    </row>
    <row r="243" spans="1:19" ht="22.5" x14ac:dyDescent="0.25">
      <c r="A243" s="1" t="s">
        <v>318</v>
      </c>
      <c r="C243" s="185" t="s">
        <v>425</v>
      </c>
      <c r="D243" s="186" t="s">
        <v>258</v>
      </c>
      <c r="E243" s="187">
        <v>0</v>
      </c>
      <c r="F243" s="187">
        <f t="shared" si="227"/>
        <v>31623430.909999996</v>
      </c>
      <c r="G243" s="187"/>
      <c r="H243" s="187"/>
      <c r="I243" s="187">
        <f t="shared" si="228"/>
        <v>0</v>
      </c>
      <c r="J243" s="187"/>
      <c r="K243" s="187">
        <v>0</v>
      </c>
      <c r="L243" s="187">
        <f t="shared" si="229"/>
        <v>0</v>
      </c>
      <c r="M243" s="187"/>
      <c r="N243" s="187"/>
      <c r="O243" s="187">
        <f t="shared" si="230"/>
        <v>0</v>
      </c>
      <c r="P243" s="187">
        <f>11600000+2550000+7511109.27+8000000+1962321.64</f>
        <v>31623430.91</v>
      </c>
      <c r="Q243" s="187">
        <v>31623430.909999996</v>
      </c>
      <c r="R243" s="237">
        <f t="shared" si="231"/>
        <v>0</v>
      </c>
      <c r="S243" s="237">
        <f t="shared" si="232"/>
        <v>31623430.909999996</v>
      </c>
    </row>
    <row r="244" spans="1:19" s="96" customFormat="1" ht="23.25" x14ac:dyDescent="0.25">
      <c r="A244" s="96" t="s">
        <v>315</v>
      </c>
      <c r="C244" s="209" t="s">
        <v>429</v>
      </c>
      <c r="D244" s="209" t="s">
        <v>426</v>
      </c>
      <c r="E244" s="210">
        <f>+E245</f>
        <v>0</v>
      </c>
      <c r="F244" s="210">
        <f>+F245</f>
        <v>33409927.620000001</v>
      </c>
      <c r="G244" s="210">
        <f>+G245</f>
        <v>0</v>
      </c>
      <c r="H244" s="210">
        <f t="shared" ref="H244:K246" si="238">+H245</f>
        <v>0</v>
      </c>
      <c r="I244" s="210">
        <f t="shared" si="238"/>
        <v>0</v>
      </c>
      <c r="J244" s="210">
        <f t="shared" si="238"/>
        <v>0</v>
      </c>
      <c r="K244" s="210">
        <f t="shared" si="238"/>
        <v>0</v>
      </c>
      <c r="L244" s="210">
        <f>+L245</f>
        <v>0</v>
      </c>
      <c r="M244" s="210">
        <f>+M245</f>
        <v>0</v>
      </c>
      <c r="N244" s="210">
        <f>+N245</f>
        <v>0</v>
      </c>
      <c r="O244" s="210">
        <f>+O245</f>
        <v>0</v>
      </c>
      <c r="P244" s="210">
        <f t="shared" ref="P244:S246" si="239">+P245</f>
        <v>33409927.620000001</v>
      </c>
      <c r="Q244" s="210">
        <f t="shared" si="239"/>
        <v>33409927.620000001</v>
      </c>
      <c r="R244" s="238">
        <f t="shared" si="239"/>
        <v>0</v>
      </c>
      <c r="S244" s="238">
        <f t="shared" si="239"/>
        <v>33409927.620000001</v>
      </c>
    </row>
    <row r="245" spans="1:19" ht="23.25" x14ac:dyDescent="0.25">
      <c r="A245" s="1" t="s">
        <v>320</v>
      </c>
      <c r="C245" s="211" t="s">
        <v>430</v>
      </c>
      <c r="D245" s="211" t="s">
        <v>427</v>
      </c>
      <c r="E245" s="212">
        <v>0</v>
      </c>
      <c r="F245" s="212">
        <f t="shared" ref="F245" si="240">+E245+H245+K245+N245+Q245</f>
        <v>33409927.620000001</v>
      </c>
      <c r="G245" s="212">
        <v>0</v>
      </c>
      <c r="H245" s="212">
        <v>0</v>
      </c>
      <c r="I245" s="212">
        <f t="shared" ref="I245" si="241">+E245-G245+H245</f>
        <v>0</v>
      </c>
      <c r="J245" s="212">
        <v>0</v>
      </c>
      <c r="K245" s="212">
        <v>0</v>
      </c>
      <c r="L245" s="212">
        <f t="shared" ref="L245" si="242">+I245+K245-J245</f>
        <v>0</v>
      </c>
      <c r="M245" s="212">
        <v>0</v>
      </c>
      <c r="N245" s="212">
        <v>0</v>
      </c>
      <c r="O245" s="212">
        <f t="shared" ref="O245" si="243">+L245+N245-M245</f>
        <v>0</v>
      </c>
      <c r="P245" s="212">
        <v>33409927.620000001</v>
      </c>
      <c r="Q245" s="212">
        <v>33409927.620000001</v>
      </c>
      <c r="R245" s="239">
        <f t="shared" ref="R245:S245" si="244">+O245+Q245-P245</f>
        <v>0</v>
      </c>
      <c r="S245" s="239">
        <f>+F245-R245</f>
        <v>33409927.620000001</v>
      </c>
    </row>
    <row r="246" spans="1:19" s="96" customFormat="1" x14ac:dyDescent="0.25">
      <c r="A246" s="96" t="s">
        <v>315</v>
      </c>
      <c r="C246" s="198" t="s">
        <v>406</v>
      </c>
      <c r="D246" s="199" t="s">
        <v>410</v>
      </c>
      <c r="E246" s="200">
        <f>+E247</f>
        <v>0</v>
      </c>
      <c r="F246" s="200">
        <f>+F247</f>
        <v>90000000</v>
      </c>
      <c r="G246" s="200">
        <f>+G247</f>
        <v>0</v>
      </c>
      <c r="H246" s="200">
        <f t="shared" si="238"/>
        <v>0</v>
      </c>
      <c r="I246" s="200">
        <f t="shared" si="238"/>
        <v>0</v>
      </c>
      <c r="J246" s="200">
        <f t="shared" si="238"/>
        <v>0</v>
      </c>
      <c r="K246" s="200">
        <f t="shared" si="238"/>
        <v>0</v>
      </c>
      <c r="L246" s="200">
        <f>+L247</f>
        <v>0</v>
      </c>
      <c r="M246" s="200">
        <f>+M247</f>
        <v>90000000</v>
      </c>
      <c r="N246" s="200">
        <f>+N247</f>
        <v>90000000</v>
      </c>
      <c r="O246" s="200">
        <f>+O247</f>
        <v>0</v>
      </c>
      <c r="P246" s="200">
        <f t="shared" si="239"/>
        <v>0</v>
      </c>
      <c r="Q246" s="200">
        <f t="shared" si="239"/>
        <v>0</v>
      </c>
      <c r="R246" s="240">
        <f t="shared" si="239"/>
        <v>0</v>
      </c>
      <c r="S246" s="240">
        <f t="shared" si="239"/>
        <v>90000000</v>
      </c>
    </row>
    <row r="247" spans="1:19" ht="22.5" x14ac:dyDescent="0.25">
      <c r="A247" s="96" t="s">
        <v>408</v>
      </c>
      <c r="C247" s="195" t="s">
        <v>407</v>
      </c>
      <c r="D247" s="196" t="s">
        <v>409</v>
      </c>
      <c r="E247" s="197">
        <v>0</v>
      </c>
      <c r="F247" s="197">
        <f t="shared" si="227"/>
        <v>90000000</v>
      </c>
      <c r="G247" s="197">
        <v>0</v>
      </c>
      <c r="H247" s="197">
        <v>0</v>
      </c>
      <c r="I247" s="197">
        <f t="shared" ref="I247" si="245">+E247-G247+H247</f>
        <v>0</v>
      </c>
      <c r="J247" s="197">
        <v>0</v>
      </c>
      <c r="K247" s="197">
        <v>0</v>
      </c>
      <c r="L247" s="197">
        <f t="shared" ref="L247" si="246">+I247+K247-J247</f>
        <v>0</v>
      </c>
      <c r="M247" s="197">
        <v>90000000</v>
      </c>
      <c r="N247" s="197">
        <v>90000000</v>
      </c>
      <c r="O247" s="197">
        <f t="shared" ref="O247" si="247">+L247+N247-M247</f>
        <v>0</v>
      </c>
      <c r="P247" s="197">
        <v>0</v>
      </c>
      <c r="Q247" s="197">
        <v>0</v>
      </c>
      <c r="R247" s="241">
        <f t="shared" ref="R247:S247" si="248">+O247+Q247-P247</f>
        <v>0</v>
      </c>
      <c r="S247" s="241">
        <f>+F247-R247</f>
        <v>90000000</v>
      </c>
    </row>
    <row r="248" spans="1:19" x14ac:dyDescent="0.25">
      <c r="A248" s="96" t="s">
        <v>315</v>
      </c>
      <c r="B248" s="96"/>
      <c r="C248" s="87" t="s">
        <v>259</v>
      </c>
      <c r="D248" s="88" t="s">
        <v>8</v>
      </c>
      <c r="E248" s="111">
        <f>+E249</f>
        <v>4300000000.0019999</v>
      </c>
      <c r="F248" s="89">
        <f t="shared" ref="F248:S249" si="249">+F249</f>
        <v>11349614372.132</v>
      </c>
      <c r="G248" s="89">
        <f t="shared" si="249"/>
        <v>2253263897.4000001</v>
      </c>
      <c r="H248" s="89">
        <f t="shared" si="249"/>
        <v>0</v>
      </c>
      <c r="I248" s="89">
        <f t="shared" si="249"/>
        <v>2046736102.6019998</v>
      </c>
      <c r="J248" s="135">
        <f t="shared" si="249"/>
        <v>5757439540.4099998</v>
      </c>
      <c r="K248" s="128">
        <f t="shared" si="249"/>
        <v>7049614372.1300001</v>
      </c>
      <c r="L248" s="128">
        <f t="shared" si="249"/>
        <v>3338910934.3219995</v>
      </c>
      <c r="M248" s="89">
        <f t="shared" si="249"/>
        <v>438532941.15999997</v>
      </c>
      <c r="N248" s="89">
        <f t="shared" si="249"/>
        <v>-66000000</v>
      </c>
      <c r="O248" s="89">
        <f t="shared" si="249"/>
        <v>2834377993.1619997</v>
      </c>
      <c r="P248" s="89">
        <f t="shared" si="249"/>
        <v>769991952.10000002</v>
      </c>
      <c r="Q248" s="89">
        <f t="shared" si="249"/>
        <v>66000000</v>
      </c>
      <c r="R248" s="89">
        <f t="shared" si="249"/>
        <v>2130386041.0620003</v>
      </c>
      <c r="S248" s="89">
        <f t="shared" si="249"/>
        <v>9233284331.0699997</v>
      </c>
    </row>
    <row r="249" spans="1:19" ht="45" x14ac:dyDescent="0.25">
      <c r="A249" s="96" t="s">
        <v>315</v>
      </c>
      <c r="B249" s="96"/>
      <c r="C249" s="87" t="s">
        <v>260</v>
      </c>
      <c r="D249" s="88" t="s">
        <v>261</v>
      </c>
      <c r="E249" s="111">
        <f>+E250</f>
        <v>4300000000.0019999</v>
      </c>
      <c r="F249" s="89">
        <f t="shared" si="249"/>
        <v>11349614372.132</v>
      </c>
      <c r="G249" s="89">
        <f t="shared" si="249"/>
        <v>2253263897.4000001</v>
      </c>
      <c r="H249" s="89">
        <f t="shared" si="249"/>
        <v>0</v>
      </c>
      <c r="I249" s="89">
        <f t="shared" si="249"/>
        <v>2046736102.6019998</v>
      </c>
      <c r="J249" s="135">
        <f t="shared" si="249"/>
        <v>5757439540.4099998</v>
      </c>
      <c r="K249" s="128">
        <f t="shared" si="249"/>
        <v>7049614372.1300001</v>
      </c>
      <c r="L249" s="128">
        <f t="shared" si="249"/>
        <v>3338910934.3219995</v>
      </c>
      <c r="M249" s="89">
        <f t="shared" si="249"/>
        <v>438532941.15999997</v>
      </c>
      <c r="N249" s="89">
        <f t="shared" si="249"/>
        <v>-66000000</v>
      </c>
      <c r="O249" s="89">
        <f t="shared" si="249"/>
        <v>2834377993.1619997</v>
      </c>
      <c r="P249" s="89">
        <f t="shared" si="249"/>
        <v>769991952.10000002</v>
      </c>
      <c r="Q249" s="89">
        <f t="shared" si="249"/>
        <v>66000000</v>
      </c>
      <c r="R249" s="89">
        <f t="shared" si="249"/>
        <v>2130386041.0620003</v>
      </c>
      <c r="S249" s="89">
        <f t="shared" si="249"/>
        <v>9233284331.0699997</v>
      </c>
    </row>
    <row r="250" spans="1:19" ht="45" x14ac:dyDescent="0.25">
      <c r="A250" s="96" t="s">
        <v>315</v>
      </c>
      <c r="B250" s="96"/>
      <c r="C250" s="87" t="s">
        <v>262</v>
      </c>
      <c r="D250" s="88" t="s">
        <v>263</v>
      </c>
      <c r="E250" s="111">
        <f t="shared" ref="E250:R250" si="250">+E251+E287+E281+E274+E290+E294</f>
        <v>4300000000.0019999</v>
      </c>
      <c r="F250" s="111">
        <f t="shared" si="250"/>
        <v>11349614372.132</v>
      </c>
      <c r="G250" s="111">
        <f t="shared" si="250"/>
        <v>2253263897.4000001</v>
      </c>
      <c r="H250" s="111">
        <f t="shared" si="250"/>
        <v>0</v>
      </c>
      <c r="I250" s="111">
        <f t="shared" si="250"/>
        <v>2046736102.6019998</v>
      </c>
      <c r="J250" s="135">
        <f t="shared" si="250"/>
        <v>5757439540.4099998</v>
      </c>
      <c r="K250" s="111">
        <f t="shared" si="250"/>
        <v>7049614372.1300001</v>
      </c>
      <c r="L250" s="150">
        <f t="shared" si="250"/>
        <v>3338910934.3219995</v>
      </c>
      <c r="M250" s="111">
        <f t="shared" si="250"/>
        <v>438532941.15999997</v>
      </c>
      <c r="N250" s="111">
        <f t="shared" si="250"/>
        <v>-66000000</v>
      </c>
      <c r="O250" s="111">
        <f t="shared" si="250"/>
        <v>2834377993.1619997</v>
      </c>
      <c r="P250" s="111">
        <f t="shared" si="250"/>
        <v>769991952.10000002</v>
      </c>
      <c r="Q250" s="111">
        <f t="shared" si="250"/>
        <v>66000000</v>
      </c>
      <c r="R250" s="89">
        <f t="shared" si="250"/>
        <v>2130386041.0620003</v>
      </c>
      <c r="S250" s="89">
        <f t="shared" ref="S250" si="251">+S251+S287+S281+S274+S290+S294</f>
        <v>9233284331.0699997</v>
      </c>
    </row>
    <row r="251" spans="1:19" x14ac:dyDescent="0.25">
      <c r="A251" s="96" t="s">
        <v>315</v>
      </c>
      <c r="B251" s="96"/>
      <c r="C251" s="87" t="s">
        <v>264</v>
      </c>
      <c r="D251" s="88" t="s">
        <v>265</v>
      </c>
      <c r="E251" s="111">
        <f>+E252+E267</f>
        <v>2993420622.2820001</v>
      </c>
      <c r="F251" s="89">
        <f t="shared" ref="F251:R251" si="252">+F252+F267</f>
        <v>9592032165.3120003</v>
      </c>
      <c r="G251" s="89">
        <f t="shared" si="252"/>
        <v>986287544.39999998</v>
      </c>
      <c r="H251" s="89">
        <f t="shared" si="252"/>
        <v>0</v>
      </c>
      <c r="I251" s="89">
        <f t="shared" si="252"/>
        <v>2007133077.8819997</v>
      </c>
      <c r="J251" s="135">
        <f t="shared" si="252"/>
        <v>5448973540.4099998</v>
      </c>
      <c r="K251" s="128">
        <f t="shared" si="252"/>
        <v>6598611543.0299997</v>
      </c>
      <c r="L251" s="128">
        <f t="shared" si="252"/>
        <v>3156771080.5019999</v>
      </c>
      <c r="M251" s="89">
        <f t="shared" si="252"/>
        <v>380532941.15999997</v>
      </c>
      <c r="N251" s="89">
        <f t="shared" si="252"/>
        <v>0</v>
      </c>
      <c r="O251" s="89">
        <f t="shared" si="252"/>
        <v>2776238139.342</v>
      </c>
      <c r="P251" s="89">
        <f t="shared" si="252"/>
        <v>685511123</v>
      </c>
      <c r="Q251" s="89">
        <f t="shared" si="252"/>
        <v>0</v>
      </c>
      <c r="R251" s="89">
        <f t="shared" si="252"/>
        <v>2090727016.3420002</v>
      </c>
      <c r="S251" s="89">
        <f t="shared" ref="S251" si="253">+S252+S267</f>
        <v>7501305148.9699993</v>
      </c>
    </row>
    <row r="252" spans="1:19" x14ac:dyDescent="0.25">
      <c r="A252" s="96" t="s">
        <v>315</v>
      </c>
      <c r="B252" s="96"/>
      <c r="C252" s="87" t="s">
        <v>266</v>
      </c>
      <c r="D252" s="88" t="s">
        <v>267</v>
      </c>
      <c r="E252" s="111">
        <f>SUM(E253:E266)</f>
        <v>2815723306.1199999</v>
      </c>
      <c r="F252" s="111">
        <f t="shared" ref="F252:R252" si="254">SUM(F253:F266)</f>
        <v>8924917988.4099998</v>
      </c>
      <c r="G252" s="111">
        <f t="shared" si="254"/>
        <v>838734544.39999998</v>
      </c>
      <c r="H252" s="111">
        <f t="shared" si="254"/>
        <v>0</v>
      </c>
      <c r="I252" s="111">
        <f t="shared" si="254"/>
        <v>1976988761.7199998</v>
      </c>
      <c r="J252" s="135">
        <f t="shared" si="254"/>
        <v>5214613249.6700001</v>
      </c>
      <c r="K252" s="111">
        <f t="shared" si="254"/>
        <v>6109194682.29</v>
      </c>
      <c r="L252" s="150">
        <f t="shared" si="254"/>
        <v>2871570194.3399997</v>
      </c>
      <c r="M252" s="111">
        <f t="shared" si="254"/>
        <v>122300236</v>
      </c>
      <c r="N252" s="111">
        <f t="shared" si="254"/>
        <v>0</v>
      </c>
      <c r="O252" s="111">
        <f t="shared" si="254"/>
        <v>2749269958.3400002</v>
      </c>
      <c r="P252" s="111">
        <f t="shared" si="254"/>
        <v>666882942</v>
      </c>
      <c r="Q252" s="111">
        <f t="shared" si="254"/>
        <v>0</v>
      </c>
      <c r="R252" s="89">
        <f t="shared" si="254"/>
        <v>2082387016.3400002</v>
      </c>
      <c r="S252" s="89">
        <f t="shared" ref="S252" si="255">SUM(S253:S266)</f>
        <v>6842530972.0699997</v>
      </c>
    </row>
    <row r="253" spans="1:19" x14ac:dyDescent="0.25">
      <c r="A253" s="1" t="s">
        <v>322</v>
      </c>
      <c r="C253" s="167" t="s">
        <v>268</v>
      </c>
      <c r="D253" s="168" t="s">
        <v>269</v>
      </c>
      <c r="E253" s="161">
        <v>301134104</v>
      </c>
      <c r="F253" s="161">
        <f t="shared" ref="F253:F262" si="256">+E253+H253+K253+N253+Q253</f>
        <v>301134104</v>
      </c>
      <c r="G253" s="161">
        <v>301134104</v>
      </c>
      <c r="H253" s="161"/>
      <c r="I253" s="161">
        <f t="shared" ref="I253:I262" si="257">+E253-G253+H253</f>
        <v>0</v>
      </c>
      <c r="J253" s="161"/>
      <c r="K253" s="161"/>
      <c r="L253" s="161">
        <f t="shared" ref="L253:L262" si="258">+I253+K253-J253</f>
        <v>0</v>
      </c>
      <c r="M253" s="161"/>
      <c r="N253" s="161"/>
      <c r="O253" s="161">
        <f t="shared" ref="O253:O262" si="259">+L253+N253-M253</f>
        <v>0</v>
      </c>
      <c r="P253" s="161"/>
      <c r="Q253" s="161"/>
      <c r="R253" s="242">
        <f t="shared" ref="R253:S262" si="260">+O253+Q253-P253</f>
        <v>0</v>
      </c>
      <c r="S253" s="242">
        <f t="shared" ref="S253:S266" si="261">+F253-R253</f>
        <v>301134104</v>
      </c>
    </row>
    <row r="254" spans="1:19" x14ac:dyDescent="0.25">
      <c r="A254" s="1" t="s">
        <v>318</v>
      </c>
      <c r="C254" s="167" t="s">
        <v>270</v>
      </c>
      <c r="D254" s="168" t="s">
        <v>271</v>
      </c>
      <c r="E254" s="161">
        <v>10200516</v>
      </c>
      <c r="F254" s="161">
        <f t="shared" si="256"/>
        <v>10200516</v>
      </c>
      <c r="G254" s="161"/>
      <c r="H254" s="161"/>
      <c r="I254" s="161">
        <f t="shared" si="257"/>
        <v>10200516</v>
      </c>
      <c r="J254" s="161"/>
      <c r="K254" s="161"/>
      <c r="L254" s="161">
        <f t="shared" si="258"/>
        <v>10200516</v>
      </c>
      <c r="M254" s="161"/>
      <c r="N254" s="161"/>
      <c r="O254" s="161">
        <f t="shared" si="259"/>
        <v>10200516</v>
      </c>
      <c r="P254" s="161"/>
      <c r="Q254" s="161"/>
      <c r="R254" s="242">
        <f t="shared" si="260"/>
        <v>10200516</v>
      </c>
      <c r="S254" s="242">
        <f t="shared" si="261"/>
        <v>0</v>
      </c>
    </row>
    <row r="255" spans="1:19" x14ac:dyDescent="0.25">
      <c r="A255" s="1" t="s">
        <v>318</v>
      </c>
      <c r="B255" s="1" t="s">
        <v>403</v>
      </c>
      <c r="C255" s="167" t="s">
        <v>272</v>
      </c>
      <c r="D255" s="168" t="s">
        <v>273</v>
      </c>
      <c r="E255" s="161">
        <f>223355009+93710624.3</f>
        <v>317065633.30000001</v>
      </c>
      <c r="F255" s="161">
        <f t="shared" si="256"/>
        <v>6019301103.5900002</v>
      </c>
      <c r="G255" s="161"/>
      <c r="H255" s="161"/>
      <c r="I255" s="161">
        <f t="shared" si="257"/>
        <v>317065633.30000001</v>
      </c>
      <c r="J255" s="161">
        <v>5000000000</v>
      </c>
      <c r="K255" s="161">
        <v>5810999429.29</v>
      </c>
      <c r="L255" s="161">
        <f t="shared" si="258"/>
        <v>1128065062.5900002</v>
      </c>
      <c r="M255" s="161"/>
      <c r="N255" s="161">
        <v>-515763959</v>
      </c>
      <c r="O255" s="161">
        <f t="shared" si="259"/>
        <v>612301103.59000015</v>
      </c>
      <c r="P255" s="161">
        <v>612301103</v>
      </c>
      <c r="Q255" s="161">
        <v>407000000</v>
      </c>
      <c r="R255" s="239">
        <f t="shared" si="260"/>
        <v>407000000.59000015</v>
      </c>
      <c r="S255" s="239">
        <f t="shared" si="261"/>
        <v>5612301103</v>
      </c>
    </row>
    <row r="256" spans="1:19" ht="30" x14ac:dyDescent="0.25">
      <c r="A256" s="1" t="s">
        <v>318</v>
      </c>
      <c r="B256" s="1" t="s">
        <v>403</v>
      </c>
      <c r="C256" s="167" t="s">
        <v>274</v>
      </c>
      <c r="D256" s="168" t="s">
        <v>275</v>
      </c>
      <c r="E256" s="161">
        <v>50000000</v>
      </c>
      <c r="F256" s="161">
        <f t="shared" si="256"/>
        <v>50000000</v>
      </c>
      <c r="G256" s="161"/>
      <c r="H256" s="161"/>
      <c r="I256" s="161">
        <f t="shared" si="257"/>
        <v>50000000</v>
      </c>
      <c r="J256" s="161"/>
      <c r="K256" s="161"/>
      <c r="L256" s="161">
        <f t="shared" si="258"/>
        <v>50000000</v>
      </c>
      <c r="M256" s="161"/>
      <c r="N256" s="161"/>
      <c r="O256" s="161">
        <f t="shared" si="259"/>
        <v>50000000</v>
      </c>
      <c r="P256" s="161">
        <f>32778191+17221809</f>
        <v>50000000</v>
      </c>
      <c r="Q256" s="161"/>
      <c r="R256" s="242">
        <f t="shared" si="260"/>
        <v>0</v>
      </c>
      <c r="S256" s="242">
        <f t="shared" si="261"/>
        <v>50000000</v>
      </c>
    </row>
    <row r="257" spans="1:19" ht="30" x14ac:dyDescent="0.25">
      <c r="A257" s="1" t="s">
        <v>318</v>
      </c>
      <c r="B257" s="1" t="s">
        <v>403</v>
      </c>
      <c r="C257" s="167" t="s">
        <v>276</v>
      </c>
      <c r="D257" s="168" t="s">
        <v>277</v>
      </c>
      <c r="E257" s="161">
        <v>50000000</v>
      </c>
      <c r="F257" s="161">
        <f t="shared" si="256"/>
        <v>50000000</v>
      </c>
      <c r="G257" s="161">
        <f>8932242+41067758</f>
        <v>50000000</v>
      </c>
      <c r="H257" s="161"/>
      <c r="I257" s="161">
        <f t="shared" si="257"/>
        <v>0</v>
      </c>
      <c r="J257" s="161"/>
      <c r="K257" s="161"/>
      <c r="L257" s="161">
        <f t="shared" si="258"/>
        <v>0</v>
      </c>
      <c r="M257" s="161"/>
      <c r="N257" s="161"/>
      <c r="O257" s="161">
        <f t="shared" si="259"/>
        <v>0</v>
      </c>
      <c r="P257" s="161"/>
      <c r="Q257" s="161"/>
      <c r="R257" s="242">
        <f t="shared" si="260"/>
        <v>0</v>
      </c>
      <c r="S257" s="242">
        <f t="shared" si="261"/>
        <v>50000000</v>
      </c>
    </row>
    <row r="258" spans="1:19" ht="30" x14ac:dyDescent="0.25">
      <c r="A258" s="1" t="s">
        <v>318</v>
      </c>
      <c r="C258" s="167" t="s">
        <v>334</v>
      </c>
      <c r="D258" s="168" t="s">
        <v>279</v>
      </c>
      <c r="E258" s="161">
        <v>12485249.67</v>
      </c>
      <c r="F258" s="161">
        <f t="shared" si="256"/>
        <v>12485249.67</v>
      </c>
      <c r="G258" s="161"/>
      <c r="H258" s="161"/>
      <c r="I258" s="161">
        <f t="shared" si="257"/>
        <v>12485249.67</v>
      </c>
      <c r="J258" s="161">
        <v>12485249.67</v>
      </c>
      <c r="K258" s="161"/>
      <c r="L258" s="161">
        <f t="shared" si="258"/>
        <v>0</v>
      </c>
      <c r="M258" s="161"/>
      <c r="N258" s="161"/>
      <c r="O258" s="161">
        <f t="shared" si="259"/>
        <v>0</v>
      </c>
      <c r="P258" s="161"/>
      <c r="Q258" s="161"/>
      <c r="R258" s="242">
        <f t="shared" si="260"/>
        <v>0</v>
      </c>
      <c r="S258" s="242">
        <f t="shared" si="261"/>
        <v>12485249.67</v>
      </c>
    </row>
    <row r="259" spans="1:19" ht="30" x14ac:dyDescent="0.25">
      <c r="A259" s="1" t="s">
        <v>318</v>
      </c>
      <c r="C259" s="167" t="s">
        <v>278</v>
      </c>
      <c r="D259" s="168" t="s">
        <v>281</v>
      </c>
      <c r="E259" s="161">
        <v>7100328.1200000001</v>
      </c>
      <c r="F259" s="161">
        <f t="shared" si="256"/>
        <v>209228328.12</v>
      </c>
      <c r="G259" s="161"/>
      <c r="H259" s="161"/>
      <c r="I259" s="161">
        <f t="shared" si="257"/>
        <v>7100328.1200000001</v>
      </c>
      <c r="J259" s="161">
        <v>202128000</v>
      </c>
      <c r="K259" s="161">
        <v>202128000</v>
      </c>
      <c r="L259" s="161">
        <f t="shared" si="258"/>
        <v>7100328.1200000048</v>
      </c>
      <c r="M259" s="161"/>
      <c r="N259" s="161"/>
      <c r="O259" s="161">
        <f t="shared" si="259"/>
        <v>7100328.1200000048</v>
      </c>
      <c r="P259" s="161"/>
      <c r="Q259" s="161"/>
      <c r="R259" s="242">
        <f t="shared" si="260"/>
        <v>7100328.1200000048</v>
      </c>
      <c r="S259" s="242">
        <f t="shared" si="261"/>
        <v>202128000</v>
      </c>
    </row>
    <row r="260" spans="1:19" ht="30" x14ac:dyDescent="0.25">
      <c r="A260" s="1" t="s">
        <v>378</v>
      </c>
      <c r="C260" s="167" t="s">
        <v>280</v>
      </c>
      <c r="D260" s="168" t="s">
        <v>202</v>
      </c>
      <c r="E260" s="161">
        <v>42828278.030000001</v>
      </c>
      <c r="F260" s="161">
        <f t="shared" si="256"/>
        <v>117515478.03</v>
      </c>
      <c r="G260" s="161"/>
      <c r="H260" s="161"/>
      <c r="I260" s="161">
        <f t="shared" si="257"/>
        <v>42828278.030000001</v>
      </c>
      <c r="J260" s="161"/>
      <c r="K260" s="161">
        <v>74687200</v>
      </c>
      <c r="L260" s="161">
        <f t="shared" si="258"/>
        <v>117515478.03</v>
      </c>
      <c r="M260" s="161">
        <v>117513716</v>
      </c>
      <c r="N260" s="161"/>
      <c r="O260" s="161">
        <f t="shared" si="259"/>
        <v>1762.0300000011921</v>
      </c>
      <c r="P260" s="161"/>
      <c r="Q260" s="161"/>
      <c r="R260" s="242">
        <f t="shared" si="260"/>
        <v>1762.0300000011921</v>
      </c>
      <c r="S260" s="242">
        <f t="shared" si="261"/>
        <v>117513716</v>
      </c>
    </row>
    <row r="261" spans="1:19" ht="30" x14ac:dyDescent="0.25">
      <c r="A261" s="1" t="s">
        <v>318</v>
      </c>
      <c r="C261" s="167" t="s">
        <v>282</v>
      </c>
      <c r="D261" s="168" t="s">
        <v>283</v>
      </c>
      <c r="E261" s="161">
        <v>1536097375</v>
      </c>
      <c r="F261" s="161">
        <f t="shared" si="256"/>
        <v>1547477428</v>
      </c>
      <c r="G261" s="161"/>
      <c r="H261" s="161"/>
      <c r="I261" s="161">
        <f t="shared" si="257"/>
        <v>1536097375</v>
      </c>
      <c r="J261" s="161"/>
      <c r="K261" s="161">
        <v>11380053</v>
      </c>
      <c r="L261" s="161">
        <f t="shared" si="258"/>
        <v>1547477428</v>
      </c>
      <c r="M261" s="161"/>
      <c r="N261" s="161"/>
      <c r="O261" s="161">
        <f t="shared" si="259"/>
        <v>1547477428</v>
      </c>
      <c r="P261" s="161"/>
      <c r="Q261" s="161"/>
      <c r="R261" s="242">
        <f>+O261+Q261-P261</f>
        <v>1547477428</v>
      </c>
      <c r="S261" s="242">
        <f t="shared" si="261"/>
        <v>0</v>
      </c>
    </row>
    <row r="262" spans="1:19" x14ac:dyDescent="0.25">
      <c r="A262" s="1" t="s">
        <v>321</v>
      </c>
      <c r="C262" s="167" t="s">
        <v>335</v>
      </c>
      <c r="D262" s="168" t="s">
        <v>284</v>
      </c>
      <c r="E262" s="161">
        <f>438000000+50811822</f>
        <v>488811822</v>
      </c>
      <c r="F262" s="161">
        <f t="shared" si="256"/>
        <v>488811822</v>
      </c>
      <c r="G262" s="161">
        <v>487600440.39999998</v>
      </c>
      <c r="H262" s="161"/>
      <c r="I262" s="161">
        <f t="shared" si="257"/>
        <v>1211381.6000000238</v>
      </c>
      <c r="J262" s="161"/>
      <c r="K262" s="161"/>
      <c r="L262" s="161">
        <f t="shared" si="258"/>
        <v>1211381.6000000238</v>
      </c>
      <c r="M262" s="161">
        <v>0</v>
      </c>
      <c r="N262" s="161"/>
      <c r="O262" s="161">
        <f t="shared" si="259"/>
        <v>1211381.6000000238</v>
      </c>
      <c r="P262" s="161"/>
      <c r="Q262" s="161"/>
      <c r="R262" s="242">
        <f t="shared" si="260"/>
        <v>1211381.6000000238</v>
      </c>
      <c r="S262" s="242">
        <f t="shared" si="261"/>
        <v>487600440.39999998</v>
      </c>
    </row>
    <row r="263" spans="1:19" ht="30" x14ac:dyDescent="0.25">
      <c r="A263" s="1" t="s">
        <v>322</v>
      </c>
      <c r="C263" s="167" t="s">
        <v>343</v>
      </c>
      <c r="D263" s="168" t="s">
        <v>344</v>
      </c>
      <c r="E263" s="161">
        <v>0</v>
      </c>
      <c r="F263" s="204">
        <f t="shared" ref="F263:F266" si="262">+E263+H263+K263+N263+Q263</f>
        <v>10000000</v>
      </c>
      <c r="G263" s="161"/>
      <c r="H263" s="161"/>
      <c r="I263" s="161">
        <f t="shared" ref="I263:I266" si="263">+E263-G263+H263</f>
        <v>0</v>
      </c>
      <c r="J263" s="161"/>
      <c r="K263" s="161">
        <v>10000000</v>
      </c>
      <c r="L263" s="161">
        <f t="shared" ref="L263:L266" si="264">+I263+K263-J263</f>
        <v>10000000</v>
      </c>
      <c r="M263" s="161"/>
      <c r="N263" s="161"/>
      <c r="O263" s="161">
        <f t="shared" ref="O263:O266" si="265">+L263+N263-M263</f>
        <v>10000000</v>
      </c>
      <c r="P263" s="161"/>
      <c r="Q263" s="161"/>
      <c r="R263" s="242">
        <f t="shared" ref="R263:S266" si="266">+O263+Q263-P263</f>
        <v>10000000</v>
      </c>
      <c r="S263" s="242">
        <f t="shared" si="261"/>
        <v>0</v>
      </c>
    </row>
    <row r="264" spans="1:19" ht="30" x14ac:dyDescent="0.25">
      <c r="A264" s="1" t="s">
        <v>318</v>
      </c>
      <c r="B264" s="1" t="s">
        <v>403</v>
      </c>
      <c r="C264" s="167" t="s">
        <v>393</v>
      </c>
      <c r="D264" s="168" t="s">
        <v>124</v>
      </c>
      <c r="E264" s="161">
        <v>0</v>
      </c>
      <c r="F264" s="161">
        <f t="shared" si="262"/>
        <v>53523663</v>
      </c>
      <c r="G264" s="161"/>
      <c r="H264" s="161"/>
      <c r="I264" s="161">
        <f t="shared" si="263"/>
        <v>0</v>
      </c>
      <c r="J264" s="161"/>
      <c r="K264" s="161"/>
      <c r="L264" s="161">
        <f t="shared" si="264"/>
        <v>0</v>
      </c>
      <c r="M264" s="161"/>
      <c r="N264" s="161">
        <v>320523663</v>
      </c>
      <c r="O264" s="161">
        <f t="shared" si="265"/>
        <v>320523663</v>
      </c>
      <c r="P264" s="161">
        <f>3033321+1548518</f>
        <v>4581839</v>
      </c>
      <c r="Q264" s="161">
        <v>-267000000</v>
      </c>
      <c r="R264" s="243">
        <f t="shared" si="266"/>
        <v>48941824</v>
      </c>
      <c r="S264" s="243">
        <f t="shared" si="261"/>
        <v>4581839</v>
      </c>
    </row>
    <row r="265" spans="1:19" ht="30" x14ac:dyDescent="0.25">
      <c r="A265" s="1" t="s">
        <v>318</v>
      </c>
      <c r="B265" s="1" t="s">
        <v>403</v>
      </c>
      <c r="C265" s="167" t="s">
        <v>394</v>
      </c>
      <c r="D265" s="168" t="s">
        <v>391</v>
      </c>
      <c r="E265" s="161">
        <v>0</v>
      </c>
      <c r="F265" s="161">
        <f t="shared" si="262"/>
        <v>50453776</v>
      </c>
      <c r="G265" s="161"/>
      <c r="H265" s="161"/>
      <c r="I265" s="161">
        <f t="shared" si="263"/>
        <v>0</v>
      </c>
      <c r="J265" s="161"/>
      <c r="K265" s="161"/>
      <c r="L265" s="161">
        <f t="shared" si="264"/>
        <v>0</v>
      </c>
      <c r="M265" s="161"/>
      <c r="N265" s="161">
        <v>190453776</v>
      </c>
      <c r="O265" s="161">
        <f t="shared" si="265"/>
        <v>190453776</v>
      </c>
      <c r="P265" s="161"/>
      <c r="Q265" s="161">
        <v>-140000000</v>
      </c>
      <c r="R265" s="243">
        <f t="shared" si="266"/>
        <v>50453776</v>
      </c>
      <c r="S265" s="243">
        <f t="shared" si="261"/>
        <v>0</v>
      </c>
    </row>
    <row r="266" spans="1:19" ht="30" x14ac:dyDescent="0.25">
      <c r="A266" s="1" t="s">
        <v>318</v>
      </c>
      <c r="C266" s="167" t="s">
        <v>395</v>
      </c>
      <c r="D266" s="168" t="s">
        <v>392</v>
      </c>
      <c r="E266" s="161">
        <v>0</v>
      </c>
      <c r="F266" s="161">
        <f t="shared" si="262"/>
        <v>4786520</v>
      </c>
      <c r="G266" s="161"/>
      <c r="H266" s="161"/>
      <c r="I266" s="161">
        <f t="shared" si="263"/>
        <v>0</v>
      </c>
      <c r="J266" s="161"/>
      <c r="K266" s="161"/>
      <c r="L266" s="161">
        <f t="shared" si="264"/>
        <v>0</v>
      </c>
      <c r="M266" s="161">
        <v>4786520</v>
      </c>
      <c r="N266" s="161">
        <v>4786520</v>
      </c>
      <c r="O266" s="161">
        <f t="shared" si="265"/>
        <v>0</v>
      </c>
      <c r="P266" s="161"/>
      <c r="Q266" s="161"/>
      <c r="R266" s="242">
        <f t="shared" si="266"/>
        <v>0</v>
      </c>
      <c r="S266" s="242">
        <f t="shared" si="261"/>
        <v>4786520</v>
      </c>
    </row>
    <row r="267" spans="1:19" ht="15.75" customHeight="1" x14ac:dyDescent="0.25">
      <c r="A267" s="96" t="s">
        <v>315</v>
      </c>
      <c r="B267" s="96"/>
      <c r="C267" s="90" t="s">
        <v>285</v>
      </c>
      <c r="D267" s="91" t="s">
        <v>286</v>
      </c>
      <c r="E267" s="112">
        <f t="shared" ref="E267:R267" si="267">SUM(E268:E273)</f>
        <v>177697316.162</v>
      </c>
      <c r="F267" s="112">
        <f t="shared" si="267"/>
        <v>667114176.90199995</v>
      </c>
      <c r="G267" s="112">
        <f t="shared" si="267"/>
        <v>147553000</v>
      </c>
      <c r="H267" s="112">
        <f t="shared" si="267"/>
        <v>0</v>
      </c>
      <c r="I267" s="112">
        <f t="shared" si="267"/>
        <v>30144316.162</v>
      </c>
      <c r="J267" s="112">
        <f t="shared" si="267"/>
        <v>234360290.74000001</v>
      </c>
      <c r="K267" s="112">
        <f t="shared" si="267"/>
        <v>489416860.74000001</v>
      </c>
      <c r="L267" s="112">
        <f t="shared" si="267"/>
        <v>285200886.162</v>
      </c>
      <c r="M267" s="112">
        <f t="shared" si="267"/>
        <v>258232705.16</v>
      </c>
      <c r="N267" s="112">
        <f t="shared" si="267"/>
        <v>0</v>
      </c>
      <c r="O267" s="112">
        <f t="shared" si="267"/>
        <v>26968181.002000004</v>
      </c>
      <c r="P267" s="112">
        <f t="shared" si="267"/>
        <v>18628181</v>
      </c>
      <c r="Q267" s="112">
        <f t="shared" si="267"/>
        <v>0</v>
      </c>
      <c r="R267" s="92">
        <f t="shared" si="267"/>
        <v>8340000.0020000041</v>
      </c>
      <c r="S267" s="92">
        <f t="shared" ref="S267" si="268">SUM(S268:S273)</f>
        <v>658774176.89999998</v>
      </c>
    </row>
    <row r="268" spans="1:19" ht="30" x14ac:dyDescent="0.25">
      <c r="A268" s="1" t="s">
        <v>326</v>
      </c>
      <c r="C268" s="169" t="s">
        <v>287</v>
      </c>
      <c r="D268" s="170" t="s">
        <v>210</v>
      </c>
      <c r="E268" s="162">
        <v>27929316.162</v>
      </c>
      <c r="F268" s="162">
        <f t="shared" ref="F268:F272" si="269">+E268+H268+K268+N268+Q268</f>
        <v>115157681.002</v>
      </c>
      <c r="G268" s="162">
        <v>6125000</v>
      </c>
      <c r="H268" s="162"/>
      <c r="I268" s="162">
        <f t="shared" ref="I268:I272" si="270">+E268-G268+H268</f>
        <v>21804316.162</v>
      </c>
      <c r="J268" s="162">
        <v>34104500</v>
      </c>
      <c r="K268" s="162">
        <f>288137164-170836980.16</f>
        <v>117300183.84</v>
      </c>
      <c r="L268" s="162">
        <f t="shared" ref="L268:L272" si="271">+I268+K268-J268</f>
        <v>105000000.002</v>
      </c>
      <c r="M268" s="162">
        <f>24300000+6500000+7000000+10000000+4000000+1500000+3000000</f>
        <v>56300000</v>
      </c>
      <c r="N268" s="162">
        <f>-2578000-28161535</f>
        <v>-30739535</v>
      </c>
      <c r="O268" s="162">
        <f t="shared" ref="O268:O272" si="272">+L268+N268-M268</f>
        <v>17960465.002000004</v>
      </c>
      <c r="P268" s="162">
        <f>3000000+5000000+4000000+6628181</f>
        <v>18628181</v>
      </c>
      <c r="Q268" s="162">
        <v>667716</v>
      </c>
      <c r="R268" s="244">
        <f t="shared" ref="R268:S272" si="273">+O268+Q268-P268</f>
        <v>2.0000040531158447E-3</v>
      </c>
      <c r="S268" s="244">
        <f t="shared" ref="S268:S273" si="274">+F268-R268</f>
        <v>115157681</v>
      </c>
    </row>
    <row r="269" spans="1:19" ht="45" x14ac:dyDescent="0.25">
      <c r="A269" s="1" t="s">
        <v>320</v>
      </c>
      <c r="C269" s="169" t="s">
        <v>288</v>
      </c>
      <c r="D269" s="170" t="s">
        <v>212</v>
      </c>
      <c r="E269" s="162">
        <v>141428000</v>
      </c>
      <c r="F269" s="162">
        <f t="shared" si="269"/>
        <v>169945725</v>
      </c>
      <c r="G269" s="162">
        <v>141428000</v>
      </c>
      <c r="H269" s="162"/>
      <c r="I269" s="162">
        <f t="shared" si="270"/>
        <v>0</v>
      </c>
      <c r="J269" s="162">
        <v>0</v>
      </c>
      <c r="K269" s="162">
        <v>1023906</v>
      </c>
      <c r="L269" s="162">
        <f t="shared" si="271"/>
        <v>1023906</v>
      </c>
      <c r="M269" s="162">
        <f>8161535+20356190</f>
        <v>28517725</v>
      </c>
      <c r="N269" s="162">
        <v>28161535</v>
      </c>
      <c r="O269" s="162">
        <f t="shared" si="272"/>
        <v>667716</v>
      </c>
      <c r="P269" s="162"/>
      <c r="Q269" s="162">
        <v>-667716</v>
      </c>
      <c r="R269" s="244">
        <f t="shared" si="273"/>
        <v>0</v>
      </c>
      <c r="S269" s="244">
        <f t="shared" si="274"/>
        <v>169945725</v>
      </c>
    </row>
    <row r="270" spans="1:19" x14ac:dyDescent="0.25">
      <c r="A270" s="1" t="s">
        <v>318</v>
      </c>
      <c r="C270" s="171" t="s">
        <v>289</v>
      </c>
      <c r="D270" s="172" t="s">
        <v>290</v>
      </c>
      <c r="E270" s="162">
        <v>8340000</v>
      </c>
      <c r="F270" s="162">
        <f>+E270+H270+K270+N270+Q270</f>
        <v>8340000</v>
      </c>
      <c r="G270" s="162">
        <v>0</v>
      </c>
      <c r="H270" s="162"/>
      <c r="I270" s="162">
        <f t="shared" si="270"/>
        <v>8340000</v>
      </c>
      <c r="J270" s="162"/>
      <c r="K270" s="162"/>
      <c r="L270" s="162">
        <f t="shared" si="271"/>
        <v>8340000</v>
      </c>
      <c r="M270" s="162"/>
      <c r="N270" s="162"/>
      <c r="O270" s="162">
        <f t="shared" si="272"/>
        <v>8340000</v>
      </c>
      <c r="P270" s="162"/>
      <c r="Q270" s="162"/>
      <c r="R270" s="244">
        <f t="shared" si="273"/>
        <v>8340000</v>
      </c>
      <c r="S270" s="244">
        <f t="shared" si="274"/>
        <v>0</v>
      </c>
    </row>
    <row r="271" spans="1:19" ht="30" x14ac:dyDescent="0.25">
      <c r="A271" s="1" t="s">
        <v>318</v>
      </c>
      <c r="C271" s="171" t="s">
        <v>345</v>
      </c>
      <c r="D271" s="172" t="s">
        <v>346</v>
      </c>
      <c r="E271" s="162">
        <v>0</v>
      </c>
      <c r="F271" s="162">
        <f>+E271+H271+K271+N271+Q271</f>
        <v>200255790.74000001</v>
      </c>
      <c r="G271" s="162">
        <v>0</v>
      </c>
      <c r="H271" s="162">
        <v>0</v>
      </c>
      <c r="I271" s="162">
        <f t="shared" si="270"/>
        <v>0</v>
      </c>
      <c r="J271" s="162">
        <v>200255790.74000001</v>
      </c>
      <c r="K271" s="162">
        <v>200255790.74000001</v>
      </c>
      <c r="L271" s="162">
        <f t="shared" si="271"/>
        <v>0</v>
      </c>
      <c r="M271" s="162"/>
      <c r="N271" s="162"/>
      <c r="O271" s="162">
        <f t="shared" si="272"/>
        <v>0</v>
      </c>
      <c r="P271" s="162"/>
      <c r="Q271" s="162"/>
      <c r="R271" s="244">
        <f t="shared" si="273"/>
        <v>0</v>
      </c>
      <c r="S271" s="244">
        <f t="shared" si="274"/>
        <v>200255790.74000001</v>
      </c>
    </row>
    <row r="272" spans="1:19" ht="30" x14ac:dyDescent="0.25">
      <c r="A272" s="1" t="s">
        <v>318</v>
      </c>
      <c r="C272" s="171" t="s">
        <v>383</v>
      </c>
      <c r="D272" s="172" t="s">
        <v>220</v>
      </c>
      <c r="E272" s="162">
        <v>0</v>
      </c>
      <c r="F272" s="162">
        <f t="shared" si="269"/>
        <v>170836980.16</v>
      </c>
      <c r="G272" s="162">
        <v>0</v>
      </c>
      <c r="H272" s="162">
        <v>0</v>
      </c>
      <c r="I272" s="162">
        <f t="shared" si="270"/>
        <v>0</v>
      </c>
      <c r="J272" s="162"/>
      <c r="K272" s="162">
        <v>170836980.16</v>
      </c>
      <c r="L272" s="162">
        <f t="shared" si="271"/>
        <v>170836980.16</v>
      </c>
      <c r="M272" s="162">
        <v>170836980.16</v>
      </c>
      <c r="N272" s="162"/>
      <c r="O272" s="162">
        <f t="shared" si="272"/>
        <v>0</v>
      </c>
      <c r="P272" s="162"/>
      <c r="Q272" s="162"/>
      <c r="R272" s="244">
        <f t="shared" si="273"/>
        <v>0</v>
      </c>
      <c r="S272" s="244">
        <f t="shared" si="274"/>
        <v>170836980.16</v>
      </c>
    </row>
    <row r="273" spans="1:19" ht="30" x14ac:dyDescent="0.25">
      <c r="A273" s="1" t="s">
        <v>318</v>
      </c>
      <c r="C273" s="171" t="s">
        <v>388</v>
      </c>
      <c r="D273" s="172" t="s">
        <v>380</v>
      </c>
      <c r="E273" s="162">
        <v>0</v>
      </c>
      <c r="F273" s="162">
        <f t="shared" ref="F273" si="275">+E273+H273+K273+N273+Q273</f>
        <v>2578000</v>
      </c>
      <c r="G273" s="162">
        <v>0</v>
      </c>
      <c r="H273" s="162">
        <v>0</v>
      </c>
      <c r="I273" s="162">
        <f t="shared" ref="I273" si="276">+E273-G273+H273</f>
        <v>0</v>
      </c>
      <c r="J273" s="162">
        <v>0</v>
      </c>
      <c r="K273" s="162">
        <v>0</v>
      </c>
      <c r="L273" s="162">
        <f t="shared" ref="L273" si="277">+I273+K273-J273</f>
        <v>0</v>
      </c>
      <c r="M273" s="162">
        <v>2578000</v>
      </c>
      <c r="N273" s="162">
        <v>2578000</v>
      </c>
      <c r="O273" s="162">
        <f t="shared" ref="O273" si="278">+L273+N273-M273</f>
        <v>0</v>
      </c>
      <c r="P273" s="162"/>
      <c r="Q273" s="162"/>
      <c r="R273" s="244">
        <f t="shared" ref="R273:S273" si="279">+O273+Q273-P273</f>
        <v>0</v>
      </c>
      <c r="S273" s="244">
        <f t="shared" si="274"/>
        <v>2578000</v>
      </c>
    </row>
    <row r="274" spans="1:19" s="96" customFormat="1" ht="45" x14ac:dyDescent="0.25">
      <c r="A274" s="96" t="s">
        <v>315</v>
      </c>
      <c r="C274" s="137" t="s">
        <v>347</v>
      </c>
      <c r="D274" s="138" t="s">
        <v>353</v>
      </c>
      <c r="E274" s="139">
        <f>+E275+E276</f>
        <v>0</v>
      </c>
      <c r="F274" s="136">
        <f t="shared" ref="F274:R274" si="280">+F275+F276</f>
        <v>225233000</v>
      </c>
      <c r="G274" s="136">
        <f t="shared" si="280"/>
        <v>0</v>
      </c>
      <c r="H274" s="136">
        <f t="shared" si="280"/>
        <v>0</v>
      </c>
      <c r="I274" s="139">
        <f t="shared" si="280"/>
        <v>0</v>
      </c>
      <c r="J274" s="146">
        <f t="shared" si="280"/>
        <v>158466000</v>
      </c>
      <c r="K274" s="139">
        <f t="shared" si="280"/>
        <v>225233000</v>
      </c>
      <c r="L274" s="146">
        <f t="shared" si="280"/>
        <v>66767000</v>
      </c>
      <c r="M274" s="139">
        <f t="shared" si="280"/>
        <v>0</v>
      </c>
      <c r="N274" s="139">
        <f t="shared" si="280"/>
        <v>-66000000</v>
      </c>
      <c r="O274" s="139">
        <f t="shared" si="280"/>
        <v>767000</v>
      </c>
      <c r="P274" s="139">
        <f t="shared" si="280"/>
        <v>66767000</v>
      </c>
      <c r="Q274" s="139">
        <f t="shared" si="280"/>
        <v>66000000</v>
      </c>
      <c r="R274" s="245">
        <f t="shared" si="280"/>
        <v>0</v>
      </c>
      <c r="S274" s="245">
        <f t="shared" ref="S274" si="281">+S275+S276</f>
        <v>225233000</v>
      </c>
    </row>
    <row r="275" spans="1:19" s="96" customFormat="1" x14ac:dyDescent="0.25">
      <c r="A275" s="1" t="s">
        <v>318</v>
      </c>
      <c r="B275" s="1"/>
      <c r="C275" s="174" t="s">
        <v>348</v>
      </c>
      <c r="D275" s="173" t="s">
        <v>364</v>
      </c>
      <c r="E275" s="163">
        <v>0</v>
      </c>
      <c r="F275" s="163">
        <f>+E275+H275+K275+N275+Q275</f>
        <v>0</v>
      </c>
      <c r="G275" s="163"/>
      <c r="H275" s="163"/>
      <c r="I275" s="163">
        <v>0</v>
      </c>
      <c r="J275" s="163"/>
      <c r="K275" s="163"/>
      <c r="L275" s="163">
        <f>+I275+K275-J275</f>
        <v>0</v>
      </c>
      <c r="M275" s="163"/>
      <c r="N275" s="163"/>
      <c r="O275" s="163">
        <f>+L275+N275-M275</f>
        <v>0</v>
      </c>
      <c r="P275" s="163"/>
      <c r="Q275" s="163"/>
      <c r="R275" s="213">
        <f>+O275+Q275-P275</f>
        <v>0</v>
      </c>
      <c r="S275" s="213">
        <f>+F275-R275</f>
        <v>0</v>
      </c>
    </row>
    <row r="276" spans="1:19" s="96" customFormat="1" x14ac:dyDescent="0.25">
      <c r="A276" s="96" t="s">
        <v>315</v>
      </c>
      <c r="C276" s="137" t="s">
        <v>349</v>
      </c>
      <c r="D276" s="138" t="s">
        <v>286</v>
      </c>
      <c r="E276" s="139">
        <f>+E277+E278+E279+E280</f>
        <v>0</v>
      </c>
      <c r="F276" s="139">
        <f t="shared" ref="F276:R276" si="282">+F277+F278+F279+F280</f>
        <v>225233000</v>
      </c>
      <c r="G276" s="139">
        <f t="shared" si="282"/>
        <v>0</v>
      </c>
      <c r="H276" s="139">
        <f t="shared" si="282"/>
        <v>0</v>
      </c>
      <c r="I276" s="139">
        <f t="shared" si="282"/>
        <v>0</v>
      </c>
      <c r="J276" s="146">
        <f t="shared" si="282"/>
        <v>158466000</v>
      </c>
      <c r="K276" s="139">
        <f t="shared" si="282"/>
        <v>225233000</v>
      </c>
      <c r="L276" s="139">
        <f t="shared" si="282"/>
        <v>66767000</v>
      </c>
      <c r="M276" s="139">
        <f t="shared" si="282"/>
        <v>0</v>
      </c>
      <c r="N276" s="139">
        <f t="shared" si="282"/>
        <v>-66000000</v>
      </c>
      <c r="O276" s="139">
        <f t="shared" si="282"/>
        <v>767000</v>
      </c>
      <c r="P276" s="139">
        <f t="shared" si="282"/>
        <v>66767000</v>
      </c>
      <c r="Q276" s="139">
        <f t="shared" si="282"/>
        <v>66000000</v>
      </c>
      <c r="R276" s="245">
        <f t="shared" si="282"/>
        <v>0</v>
      </c>
      <c r="S276" s="245">
        <f t="shared" ref="S276" si="283">+S277+S278+S279+S280</f>
        <v>225233000</v>
      </c>
    </row>
    <row r="277" spans="1:19" ht="45" x14ac:dyDescent="0.25">
      <c r="A277" s="1" t="s">
        <v>320</v>
      </c>
      <c r="C277" s="174" t="s">
        <v>350</v>
      </c>
      <c r="D277" s="202" t="s">
        <v>379</v>
      </c>
      <c r="E277" s="203">
        <v>0</v>
      </c>
      <c r="F277" s="203">
        <f t="shared" ref="F277:F280" si="284">+E277+H277+K277+N277+Q277</f>
        <v>0</v>
      </c>
      <c r="G277" s="203"/>
      <c r="H277" s="203">
        <v>0</v>
      </c>
      <c r="I277" s="203">
        <f>+E277-G277+H277</f>
        <v>0</v>
      </c>
      <c r="J277" s="203"/>
      <c r="K277" s="203">
        <f>200000000+66000000-79233000-186767000+66767000</f>
        <v>66767000</v>
      </c>
      <c r="L277" s="203">
        <f>+I277+K277-J277</f>
        <v>66767000</v>
      </c>
      <c r="M277" s="203"/>
      <c r="N277" s="203">
        <v>-66000000</v>
      </c>
      <c r="O277" s="203">
        <f>+L277+N277-M277</f>
        <v>767000</v>
      </c>
      <c r="P277" s="203"/>
      <c r="Q277" s="203">
        <f>66000000-66767000</f>
        <v>-767000</v>
      </c>
      <c r="R277" s="246">
        <f t="shared" ref="R277:S280" si="285">+O277+Q277-P277</f>
        <v>0</v>
      </c>
      <c r="S277" s="246">
        <f t="shared" ref="S277:S280" si="286">+F277-R277</f>
        <v>0</v>
      </c>
    </row>
    <row r="278" spans="1:19" ht="30" x14ac:dyDescent="0.25">
      <c r="A278" s="1" t="s">
        <v>326</v>
      </c>
      <c r="C278" s="174" t="s">
        <v>351</v>
      </c>
      <c r="D278" s="173" t="s">
        <v>210</v>
      </c>
      <c r="E278" s="163">
        <v>0</v>
      </c>
      <c r="F278" s="163">
        <f t="shared" si="284"/>
        <v>767000</v>
      </c>
      <c r="G278" s="163"/>
      <c r="H278" s="163"/>
      <c r="I278" s="163">
        <f>+E278-G278+H278</f>
        <v>0</v>
      </c>
      <c r="J278" s="163"/>
      <c r="K278" s="163">
        <f>131095000-79233000-51862000</f>
        <v>0</v>
      </c>
      <c r="L278" s="163">
        <f>+I278+K278-J278</f>
        <v>0</v>
      </c>
      <c r="M278" s="163"/>
      <c r="N278" s="163"/>
      <c r="O278" s="163">
        <f t="shared" ref="O278:O280" si="287">+L278+N278-M278</f>
        <v>0</v>
      </c>
      <c r="P278" s="163">
        <v>767000</v>
      </c>
      <c r="Q278" s="163">
        <v>767000</v>
      </c>
      <c r="R278" s="213">
        <f t="shared" si="285"/>
        <v>0</v>
      </c>
      <c r="S278" s="213">
        <f t="shared" si="286"/>
        <v>767000</v>
      </c>
    </row>
    <row r="279" spans="1:19" ht="30" x14ac:dyDescent="0.25">
      <c r="A279" s="1" t="s">
        <v>320</v>
      </c>
      <c r="C279" s="174" t="s">
        <v>352</v>
      </c>
      <c r="D279" s="173" t="s">
        <v>258</v>
      </c>
      <c r="E279" s="163">
        <v>0</v>
      </c>
      <c r="F279" s="163">
        <f t="shared" si="284"/>
        <v>66000000</v>
      </c>
      <c r="G279" s="163"/>
      <c r="H279" s="163"/>
      <c r="I279" s="163">
        <f>+E279-G279+H279</f>
        <v>0</v>
      </c>
      <c r="J279" s="163"/>
      <c r="K279" s="163">
        <f>50000000-50000000</f>
        <v>0</v>
      </c>
      <c r="L279" s="163">
        <f>+I279+K279-J279</f>
        <v>0</v>
      </c>
      <c r="M279" s="163"/>
      <c r="N279" s="163"/>
      <c r="O279" s="163">
        <f t="shared" si="287"/>
        <v>0</v>
      </c>
      <c r="P279" s="163">
        <v>66000000</v>
      </c>
      <c r="Q279" s="163">
        <v>66000000</v>
      </c>
      <c r="R279" s="213">
        <f t="shared" si="285"/>
        <v>0</v>
      </c>
      <c r="S279" s="213">
        <f t="shared" si="286"/>
        <v>66000000</v>
      </c>
    </row>
    <row r="280" spans="1:19" ht="30" x14ac:dyDescent="0.25">
      <c r="A280" s="1" t="s">
        <v>329</v>
      </c>
      <c r="C280" s="174" t="s">
        <v>370</v>
      </c>
      <c r="D280" s="173" t="s">
        <v>233</v>
      </c>
      <c r="E280" s="163">
        <v>0</v>
      </c>
      <c r="F280" s="163">
        <f t="shared" si="284"/>
        <v>158466000</v>
      </c>
      <c r="G280" s="163"/>
      <c r="H280" s="163"/>
      <c r="I280" s="163">
        <f>+E280-G280+H280</f>
        <v>0</v>
      </c>
      <c r="J280" s="163">
        <v>158466000</v>
      </c>
      <c r="K280" s="163">
        <v>158466000</v>
      </c>
      <c r="L280" s="163">
        <f>+I280+K280-J280</f>
        <v>0</v>
      </c>
      <c r="M280" s="163"/>
      <c r="N280" s="163"/>
      <c r="O280" s="163">
        <f t="shared" si="287"/>
        <v>0</v>
      </c>
      <c r="P280" s="163"/>
      <c r="Q280" s="163"/>
      <c r="R280" s="213">
        <f t="shared" si="285"/>
        <v>0</v>
      </c>
      <c r="S280" s="213">
        <f t="shared" si="286"/>
        <v>158466000</v>
      </c>
    </row>
    <row r="281" spans="1:19" x14ac:dyDescent="0.25">
      <c r="A281" s="1" t="s">
        <v>315</v>
      </c>
      <c r="C281" s="130" t="s">
        <v>339</v>
      </c>
      <c r="D281" s="131" t="s">
        <v>241</v>
      </c>
      <c r="E281" s="132">
        <f>+E282+E283+E284</f>
        <v>0</v>
      </c>
      <c r="F281" s="132">
        <f t="shared" ref="F281:R281" si="288">+F282+F283+F284</f>
        <v>209813829.09999999</v>
      </c>
      <c r="G281" s="132">
        <f t="shared" si="288"/>
        <v>0</v>
      </c>
      <c r="H281" s="132">
        <f t="shared" si="288"/>
        <v>0</v>
      </c>
      <c r="I281" s="132">
        <f t="shared" si="288"/>
        <v>0</v>
      </c>
      <c r="J281" s="147">
        <f t="shared" si="288"/>
        <v>150000000</v>
      </c>
      <c r="K281" s="132">
        <f t="shared" si="288"/>
        <v>209813829.09999999</v>
      </c>
      <c r="L281" s="147">
        <f t="shared" si="288"/>
        <v>59813829.100000001</v>
      </c>
      <c r="M281" s="132">
        <f t="shared" si="288"/>
        <v>58000000</v>
      </c>
      <c r="N281" s="132">
        <f t="shared" si="288"/>
        <v>0</v>
      </c>
      <c r="O281" s="132">
        <f t="shared" si="288"/>
        <v>1813829.1000000015</v>
      </c>
      <c r="P281" s="132">
        <f t="shared" si="288"/>
        <v>1813829.1</v>
      </c>
      <c r="Q281" s="132">
        <f t="shared" si="288"/>
        <v>0</v>
      </c>
      <c r="R281" s="192">
        <f t="shared" si="288"/>
        <v>0</v>
      </c>
      <c r="S281" s="192">
        <f t="shared" ref="S281" si="289">+S282+S283+S284</f>
        <v>209813829.09999999</v>
      </c>
    </row>
    <row r="282" spans="1:19" ht="30" x14ac:dyDescent="0.25">
      <c r="A282" s="1" t="s">
        <v>329</v>
      </c>
      <c r="C282" s="175" t="s">
        <v>354</v>
      </c>
      <c r="D282" s="176" t="s">
        <v>233</v>
      </c>
      <c r="E282" s="129">
        <v>0</v>
      </c>
      <c r="F282" s="129">
        <f>+E282+H282+K282+N282+Q282</f>
        <v>150000000</v>
      </c>
      <c r="G282" s="129"/>
      <c r="H282" s="129"/>
      <c r="I282" s="129">
        <f>+E282-G282+H282</f>
        <v>0</v>
      </c>
      <c r="J282" s="129">
        <f>108210000+41790000</f>
        <v>150000000</v>
      </c>
      <c r="K282" s="129">
        <v>150000000</v>
      </c>
      <c r="L282" s="129">
        <f>+I282+K282-J282</f>
        <v>0</v>
      </c>
      <c r="M282" s="129"/>
      <c r="N282" s="129"/>
      <c r="O282" s="129">
        <f>+L282+N282-M282</f>
        <v>0</v>
      </c>
      <c r="P282" s="129"/>
      <c r="Q282" s="129"/>
      <c r="R282" s="129">
        <f>+O282+Q282-P282</f>
        <v>0</v>
      </c>
      <c r="S282" s="129">
        <f t="shared" ref="S282:S283" si="290">+F282-R282</f>
        <v>150000000</v>
      </c>
    </row>
    <row r="283" spans="1:19" x14ac:dyDescent="0.25">
      <c r="A283" s="1" t="s">
        <v>320</v>
      </c>
      <c r="C283" s="175" t="s">
        <v>341</v>
      </c>
      <c r="D283" s="176" t="s">
        <v>340</v>
      </c>
      <c r="E283" s="129">
        <v>0</v>
      </c>
      <c r="F283" s="129">
        <f>+E283+H283+K283+N283+Q283</f>
        <v>58000000</v>
      </c>
      <c r="G283" s="129"/>
      <c r="H283" s="129"/>
      <c r="I283" s="129">
        <f>+E283-G283+H283</f>
        <v>0</v>
      </c>
      <c r="J283" s="129"/>
      <c r="K283" s="129">
        <v>58000000</v>
      </c>
      <c r="L283" s="129">
        <f>+I283+K283-J283</f>
        <v>58000000</v>
      </c>
      <c r="M283" s="129">
        <f>47979690+10020310</f>
        <v>58000000</v>
      </c>
      <c r="N283" s="129"/>
      <c r="O283" s="129">
        <f>+L283+N283-M283</f>
        <v>0</v>
      </c>
      <c r="P283" s="129"/>
      <c r="Q283" s="129"/>
      <c r="R283" s="129">
        <f>+O283+Q283-P283</f>
        <v>0</v>
      </c>
      <c r="S283" s="129">
        <f t="shared" si="290"/>
        <v>58000000</v>
      </c>
    </row>
    <row r="284" spans="1:19" ht="30" x14ac:dyDescent="0.25">
      <c r="A284" s="1" t="s">
        <v>315</v>
      </c>
      <c r="C284" s="130" t="s">
        <v>355</v>
      </c>
      <c r="D284" s="131" t="s">
        <v>356</v>
      </c>
      <c r="E284" s="132">
        <f>+E285+E286</f>
        <v>0</v>
      </c>
      <c r="F284" s="132">
        <f t="shared" ref="F284:R284" si="291">+F285+F286</f>
        <v>1813829.1000000015</v>
      </c>
      <c r="G284" s="132">
        <f t="shared" si="291"/>
        <v>0</v>
      </c>
      <c r="H284" s="132">
        <f t="shared" si="291"/>
        <v>0</v>
      </c>
      <c r="I284" s="132">
        <f t="shared" si="291"/>
        <v>0</v>
      </c>
      <c r="J284" s="147">
        <f t="shared" si="291"/>
        <v>0</v>
      </c>
      <c r="K284" s="132">
        <f t="shared" si="291"/>
        <v>1813829.1000000015</v>
      </c>
      <c r="L284" s="147">
        <f t="shared" si="291"/>
        <v>1813829.1000000015</v>
      </c>
      <c r="M284" s="132">
        <f t="shared" si="291"/>
        <v>0</v>
      </c>
      <c r="N284" s="132">
        <f t="shared" si="291"/>
        <v>0</v>
      </c>
      <c r="O284" s="132">
        <f t="shared" si="291"/>
        <v>1813829.1000000015</v>
      </c>
      <c r="P284" s="132">
        <f t="shared" si="291"/>
        <v>1813829.1</v>
      </c>
      <c r="Q284" s="132">
        <f t="shared" si="291"/>
        <v>0</v>
      </c>
      <c r="R284" s="192">
        <f t="shared" si="291"/>
        <v>0</v>
      </c>
      <c r="S284" s="192">
        <f t="shared" ref="S284" si="292">+S285+S286</f>
        <v>1813829.1000000015</v>
      </c>
    </row>
    <row r="285" spans="1:19" x14ac:dyDescent="0.25">
      <c r="A285" s="1" t="s">
        <v>318</v>
      </c>
      <c r="C285" s="175" t="s">
        <v>357</v>
      </c>
      <c r="D285" s="176" t="s">
        <v>359</v>
      </c>
      <c r="E285" s="129"/>
      <c r="F285" s="129">
        <f>+E285+H285+K285+N285+Q285</f>
        <v>0</v>
      </c>
      <c r="G285" s="129"/>
      <c r="H285" s="129"/>
      <c r="I285" s="129">
        <f>+E285-G285+H285</f>
        <v>0</v>
      </c>
      <c r="J285" s="129"/>
      <c r="K285" s="129">
        <f>200000000-200000000</f>
        <v>0</v>
      </c>
      <c r="L285" s="129">
        <f>+I285+K285-J285</f>
        <v>0</v>
      </c>
      <c r="M285" s="129"/>
      <c r="N285" s="129"/>
      <c r="O285" s="129">
        <f>+L285+N285-M285</f>
        <v>0</v>
      </c>
      <c r="P285" s="129"/>
      <c r="Q285" s="129"/>
      <c r="R285" s="129">
        <f>+O285+Q285-P285</f>
        <v>0</v>
      </c>
      <c r="S285" s="129">
        <f t="shared" ref="S285:S286" si="293">+F285-R285</f>
        <v>0</v>
      </c>
    </row>
    <row r="286" spans="1:19" x14ac:dyDescent="0.25">
      <c r="A286" s="1" t="s">
        <v>318</v>
      </c>
      <c r="C286" s="175" t="s">
        <v>358</v>
      </c>
      <c r="D286" s="176" t="s">
        <v>239</v>
      </c>
      <c r="E286" s="129"/>
      <c r="F286" s="129">
        <f>+E286+H286+K286+N286+Q286</f>
        <v>1813829.1000000015</v>
      </c>
      <c r="G286" s="129"/>
      <c r="H286" s="129"/>
      <c r="I286" s="129">
        <f>+E286-G286+H286</f>
        <v>0</v>
      </c>
      <c r="J286" s="129"/>
      <c r="K286" s="129">
        <f>35151829.1-33338000</f>
        <v>1813829.1000000015</v>
      </c>
      <c r="L286" s="129">
        <f>+I286+K286-J286</f>
        <v>1813829.1000000015</v>
      </c>
      <c r="M286" s="129"/>
      <c r="N286" s="129"/>
      <c r="O286" s="129">
        <f>+L286+N286-M286</f>
        <v>1813829.1000000015</v>
      </c>
      <c r="P286" s="129">
        <v>1813829.1</v>
      </c>
      <c r="Q286" s="129"/>
      <c r="R286" s="129">
        <f>+O286+Q286-P286</f>
        <v>0</v>
      </c>
      <c r="S286" s="129">
        <f t="shared" si="293"/>
        <v>1813829.1000000015</v>
      </c>
    </row>
    <row r="287" spans="1:19" x14ac:dyDescent="0.25">
      <c r="A287" s="96" t="s">
        <v>315</v>
      </c>
      <c r="B287" s="96"/>
      <c r="C287" s="93" t="s">
        <v>291</v>
      </c>
      <c r="D287" s="94" t="s">
        <v>292</v>
      </c>
      <c r="E287" s="113">
        <f>+E288+E289</f>
        <v>1306579377.72</v>
      </c>
      <c r="F287" s="113">
        <f t="shared" ref="F287:R287" si="294">+F288+F289</f>
        <v>1306579377.72</v>
      </c>
      <c r="G287" s="113">
        <f t="shared" si="294"/>
        <v>1266976353</v>
      </c>
      <c r="H287" s="113">
        <f t="shared" si="294"/>
        <v>0</v>
      </c>
      <c r="I287" s="113">
        <f t="shared" si="294"/>
        <v>39603024.719999999</v>
      </c>
      <c r="J287" s="148">
        <f t="shared" si="294"/>
        <v>0</v>
      </c>
      <c r="K287" s="113">
        <f t="shared" si="294"/>
        <v>0</v>
      </c>
      <c r="L287" s="148">
        <f t="shared" si="294"/>
        <v>39603024.719999999</v>
      </c>
      <c r="M287" s="113">
        <f t="shared" si="294"/>
        <v>0</v>
      </c>
      <c r="N287" s="113">
        <f t="shared" si="294"/>
        <v>0</v>
      </c>
      <c r="O287" s="113">
        <f t="shared" si="294"/>
        <v>39603024.719999999</v>
      </c>
      <c r="P287" s="113">
        <f t="shared" si="294"/>
        <v>0</v>
      </c>
      <c r="Q287" s="113">
        <f t="shared" si="294"/>
        <v>0</v>
      </c>
      <c r="R287" s="95">
        <f t="shared" si="294"/>
        <v>39603024.719999999</v>
      </c>
      <c r="S287" s="95">
        <f t="shared" ref="S287" si="295">+S288+S289</f>
        <v>1266976353</v>
      </c>
    </row>
    <row r="288" spans="1:19" ht="60" x14ac:dyDescent="0.25">
      <c r="A288" s="1" t="s">
        <v>320</v>
      </c>
      <c r="C288" s="177" t="s">
        <v>293</v>
      </c>
      <c r="D288" s="178" t="s">
        <v>294</v>
      </c>
      <c r="E288" s="164">
        <f>330000000+936976353</f>
        <v>1266976353</v>
      </c>
      <c r="F288" s="164">
        <f>+E288+H288+K288+N288+Q288</f>
        <v>1266976353</v>
      </c>
      <c r="G288" s="164">
        <v>1266976353</v>
      </c>
      <c r="H288" s="164"/>
      <c r="I288" s="164">
        <f>+E288-G288+H288</f>
        <v>0</v>
      </c>
      <c r="J288" s="164"/>
      <c r="K288" s="164"/>
      <c r="L288" s="164">
        <f>+I288+K288-J288</f>
        <v>0</v>
      </c>
      <c r="M288" s="164"/>
      <c r="N288" s="164"/>
      <c r="O288" s="164">
        <f>+L288+N288-M288</f>
        <v>0</v>
      </c>
      <c r="P288" s="164"/>
      <c r="Q288" s="164"/>
      <c r="R288" s="247">
        <f>+O288+Q288-P288</f>
        <v>0</v>
      </c>
      <c r="S288" s="247">
        <f t="shared" ref="S288:S289" si="296">+F288-R288</f>
        <v>1266976353</v>
      </c>
    </row>
    <row r="289" spans="1:19" ht="45" x14ac:dyDescent="0.25">
      <c r="A289" s="1" t="s">
        <v>320</v>
      </c>
      <c r="C289" s="177" t="s">
        <v>317</v>
      </c>
      <c r="D289" s="178" t="s">
        <v>295</v>
      </c>
      <c r="E289" s="164">
        <v>39603024.719999999</v>
      </c>
      <c r="F289" s="164">
        <f>+E289+H289+K289+N289+Q289</f>
        <v>39603024.719999999</v>
      </c>
      <c r="G289" s="164"/>
      <c r="H289" s="164"/>
      <c r="I289" s="164">
        <f>+E289-G289+H289</f>
        <v>39603024.719999999</v>
      </c>
      <c r="J289" s="164"/>
      <c r="K289" s="164"/>
      <c r="L289" s="164">
        <f>+I289+K289-J289</f>
        <v>39603024.719999999</v>
      </c>
      <c r="M289" s="164"/>
      <c r="N289" s="164"/>
      <c r="O289" s="164">
        <f>+L289+N289-M289</f>
        <v>39603024.719999999</v>
      </c>
      <c r="P289" s="164"/>
      <c r="Q289" s="164"/>
      <c r="R289" s="247">
        <f>+O289+Q289-P289</f>
        <v>39603024.719999999</v>
      </c>
      <c r="S289" s="247">
        <f t="shared" si="296"/>
        <v>0</v>
      </c>
    </row>
    <row r="290" spans="1:19" ht="45" x14ac:dyDescent="0.25">
      <c r="A290" s="1" t="s">
        <v>315</v>
      </c>
      <c r="C290" s="193" t="s">
        <v>360</v>
      </c>
      <c r="D290" s="193" t="s">
        <v>369</v>
      </c>
      <c r="E290" s="194">
        <f>+E291+E292</f>
        <v>0</v>
      </c>
      <c r="F290" s="194">
        <f t="shared" ref="F290:R290" si="297">+F291+F292</f>
        <v>1900000</v>
      </c>
      <c r="G290" s="194">
        <f t="shared" si="297"/>
        <v>0</v>
      </c>
      <c r="H290" s="194">
        <f t="shared" si="297"/>
        <v>0</v>
      </c>
      <c r="I290" s="194">
        <f t="shared" si="297"/>
        <v>0</v>
      </c>
      <c r="J290" s="194">
        <f t="shared" si="297"/>
        <v>0</v>
      </c>
      <c r="K290" s="194">
        <f t="shared" si="297"/>
        <v>1900000</v>
      </c>
      <c r="L290" s="194">
        <f t="shared" si="297"/>
        <v>1900000</v>
      </c>
      <c r="M290" s="194">
        <f t="shared" si="297"/>
        <v>0</v>
      </c>
      <c r="N290" s="194">
        <f t="shared" si="297"/>
        <v>0</v>
      </c>
      <c r="O290" s="194">
        <f t="shared" si="297"/>
        <v>1900000</v>
      </c>
      <c r="P290" s="194">
        <f t="shared" si="297"/>
        <v>1900000</v>
      </c>
      <c r="Q290" s="194">
        <f t="shared" si="297"/>
        <v>0</v>
      </c>
      <c r="R290" s="194">
        <f t="shared" si="297"/>
        <v>0</v>
      </c>
      <c r="S290" s="194">
        <f t="shared" ref="S290" si="298">+S291+S292</f>
        <v>1900000</v>
      </c>
    </row>
    <row r="291" spans="1:19" x14ac:dyDescent="0.25">
      <c r="A291" s="1" t="s">
        <v>318</v>
      </c>
      <c r="C291" s="166" t="s">
        <v>361</v>
      </c>
      <c r="D291" s="166" t="s">
        <v>364</v>
      </c>
      <c r="E291" s="165"/>
      <c r="F291" s="165">
        <f>+E291+H291+K291+N291+Q291</f>
        <v>0</v>
      </c>
      <c r="G291" s="165"/>
      <c r="H291" s="165"/>
      <c r="I291" s="165">
        <f>+E291-G291+H291</f>
        <v>0</v>
      </c>
      <c r="J291" s="165"/>
      <c r="K291" s="165"/>
      <c r="L291" s="165">
        <f>+I291+K291-J291</f>
        <v>0</v>
      </c>
      <c r="M291" s="165"/>
      <c r="N291" s="165"/>
      <c r="O291" s="165">
        <f>+L291+N291-M291</f>
        <v>0</v>
      </c>
      <c r="P291" s="165"/>
      <c r="Q291" s="165"/>
      <c r="R291" s="165">
        <f>+O291+Q291-P291</f>
        <v>0</v>
      </c>
      <c r="S291" s="165">
        <f>+F291-R291</f>
        <v>0</v>
      </c>
    </row>
    <row r="292" spans="1:19" x14ac:dyDescent="0.25">
      <c r="A292" s="1" t="s">
        <v>315</v>
      </c>
      <c r="C292" s="141" t="s">
        <v>362</v>
      </c>
      <c r="D292" s="141" t="s">
        <v>286</v>
      </c>
      <c r="E292" s="142">
        <f>+E293</f>
        <v>0</v>
      </c>
      <c r="F292" s="142">
        <f t="shared" ref="F292:S292" si="299">+F293</f>
        <v>1900000</v>
      </c>
      <c r="G292" s="142">
        <f t="shared" si="299"/>
        <v>0</v>
      </c>
      <c r="H292" s="142">
        <f t="shared" si="299"/>
        <v>0</v>
      </c>
      <c r="I292" s="143">
        <f t="shared" si="299"/>
        <v>0</v>
      </c>
      <c r="J292" s="142">
        <f t="shared" si="299"/>
        <v>0</v>
      </c>
      <c r="K292" s="142">
        <f t="shared" si="299"/>
        <v>1900000</v>
      </c>
      <c r="L292" s="142">
        <f t="shared" si="299"/>
        <v>1900000</v>
      </c>
      <c r="M292" s="142">
        <f t="shared" si="299"/>
        <v>0</v>
      </c>
      <c r="N292" s="142">
        <f t="shared" si="299"/>
        <v>0</v>
      </c>
      <c r="O292" s="142">
        <f t="shared" si="299"/>
        <v>1900000</v>
      </c>
      <c r="P292" s="142">
        <f t="shared" si="299"/>
        <v>1900000</v>
      </c>
      <c r="Q292" s="142">
        <f t="shared" si="299"/>
        <v>0</v>
      </c>
      <c r="R292" s="142">
        <f t="shared" si="299"/>
        <v>0</v>
      </c>
      <c r="S292" s="142">
        <f t="shared" si="299"/>
        <v>1900000</v>
      </c>
    </row>
    <row r="293" spans="1:19" x14ac:dyDescent="0.25">
      <c r="A293" s="1" t="s">
        <v>318</v>
      </c>
      <c r="C293" s="166" t="s">
        <v>363</v>
      </c>
      <c r="D293" s="166" t="s">
        <v>45</v>
      </c>
      <c r="E293" s="165"/>
      <c r="F293" s="165">
        <f>+E293+H293+K293+N293+Q293</f>
        <v>1900000</v>
      </c>
      <c r="G293" s="165"/>
      <c r="H293" s="165"/>
      <c r="I293" s="165">
        <f>+E293-G293+H293</f>
        <v>0</v>
      </c>
      <c r="J293" s="165"/>
      <c r="K293" s="165">
        <v>1900000</v>
      </c>
      <c r="L293" s="165">
        <f>+I293+K293-J293</f>
        <v>1900000</v>
      </c>
      <c r="M293" s="165"/>
      <c r="N293" s="165"/>
      <c r="O293" s="165">
        <f>+L293+N293-M293</f>
        <v>1900000</v>
      </c>
      <c r="P293" s="165">
        <v>1900000</v>
      </c>
      <c r="Q293" s="165"/>
      <c r="R293" s="165">
        <f>+O293+Q293-P293</f>
        <v>0</v>
      </c>
      <c r="S293" s="165">
        <f>+F293-R293</f>
        <v>1900000</v>
      </c>
    </row>
    <row r="294" spans="1:19" ht="29.25" x14ac:dyDescent="0.25">
      <c r="A294" s="1" t="s">
        <v>315</v>
      </c>
      <c r="C294" s="144" t="s">
        <v>368</v>
      </c>
      <c r="D294" s="144" t="s">
        <v>377</v>
      </c>
      <c r="E294" s="145">
        <f>+E295+E296</f>
        <v>0</v>
      </c>
      <c r="F294" s="145">
        <f t="shared" ref="F294:R294" si="300">+F295+F296</f>
        <v>14056000</v>
      </c>
      <c r="G294" s="145">
        <f t="shared" si="300"/>
        <v>0</v>
      </c>
      <c r="H294" s="145">
        <f t="shared" si="300"/>
        <v>0</v>
      </c>
      <c r="I294" s="145">
        <f t="shared" si="300"/>
        <v>0</v>
      </c>
      <c r="J294" s="145">
        <f t="shared" si="300"/>
        <v>0</v>
      </c>
      <c r="K294" s="145">
        <f t="shared" si="300"/>
        <v>14056000</v>
      </c>
      <c r="L294" s="145">
        <f t="shared" si="300"/>
        <v>14056000</v>
      </c>
      <c r="M294" s="145">
        <f t="shared" si="300"/>
        <v>0</v>
      </c>
      <c r="N294" s="145">
        <f t="shared" si="300"/>
        <v>0</v>
      </c>
      <c r="O294" s="145">
        <f t="shared" si="300"/>
        <v>14056000</v>
      </c>
      <c r="P294" s="145">
        <f t="shared" si="300"/>
        <v>14000000</v>
      </c>
      <c r="Q294" s="145">
        <f t="shared" si="300"/>
        <v>0</v>
      </c>
      <c r="R294" s="145">
        <f t="shared" si="300"/>
        <v>56000</v>
      </c>
      <c r="S294" s="145">
        <f t="shared" ref="S294" si="301">+S295+S296</f>
        <v>28056000</v>
      </c>
    </row>
    <row r="295" spans="1:19" x14ac:dyDescent="0.25">
      <c r="A295" s="1" t="s">
        <v>318</v>
      </c>
      <c r="C295" s="179" t="s">
        <v>365</v>
      </c>
      <c r="D295" s="179" t="s">
        <v>267</v>
      </c>
      <c r="E295" s="180"/>
      <c r="F295" s="180">
        <f>+E295+H295+K295+N295+Q295</f>
        <v>0</v>
      </c>
      <c r="G295" s="180"/>
      <c r="H295" s="180"/>
      <c r="I295" s="180">
        <f>+E295-G295+H295</f>
        <v>0</v>
      </c>
      <c r="J295" s="180"/>
      <c r="K295" s="180">
        <v>0</v>
      </c>
      <c r="L295" s="180">
        <f>+I295+K295-J295</f>
        <v>0</v>
      </c>
      <c r="M295" s="180"/>
      <c r="N295" s="180"/>
      <c r="O295" s="180">
        <f>+L295+N295-M295</f>
        <v>0</v>
      </c>
      <c r="P295" s="180"/>
      <c r="Q295" s="180"/>
      <c r="R295" s="180">
        <f>+O295+Q295-P295</f>
        <v>0</v>
      </c>
      <c r="S295" s="180">
        <f>+F295-R295</f>
        <v>0</v>
      </c>
    </row>
    <row r="296" spans="1:19" x14ac:dyDescent="0.25">
      <c r="A296" s="1" t="s">
        <v>315</v>
      </c>
      <c r="C296" s="144" t="s">
        <v>366</v>
      </c>
      <c r="D296" s="144" t="s">
        <v>286</v>
      </c>
      <c r="E296" s="145">
        <f>+E297+E298</f>
        <v>0</v>
      </c>
      <c r="F296" s="145">
        <f t="shared" ref="F296" si="302">+F297</f>
        <v>14056000</v>
      </c>
      <c r="G296" s="145">
        <f t="shared" ref="G296:R296" si="303">+G297+G298</f>
        <v>0</v>
      </c>
      <c r="H296" s="145">
        <f t="shared" si="303"/>
        <v>0</v>
      </c>
      <c r="I296" s="145">
        <f t="shared" si="303"/>
        <v>0</v>
      </c>
      <c r="J296" s="145">
        <f t="shared" si="303"/>
        <v>0</v>
      </c>
      <c r="K296" s="145">
        <f t="shared" si="303"/>
        <v>14056000</v>
      </c>
      <c r="L296" s="145">
        <f t="shared" si="303"/>
        <v>14056000</v>
      </c>
      <c r="M296" s="145">
        <f t="shared" si="303"/>
        <v>0</v>
      </c>
      <c r="N296" s="145">
        <f t="shared" si="303"/>
        <v>0</v>
      </c>
      <c r="O296" s="145">
        <f t="shared" si="303"/>
        <v>14056000</v>
      </c>
      <c r="P296" s="145">
        <f t="shared" si="303"/>
        <v>14000000</v>
      </c>
      <c r="Q296" s="145">
        <f t="shared" si="303"/>
        <v>0</v>
      </c>
      <c r="R296" s="145">
        <f t="shared" si="303"/>
        <v>56000</v>
      </c>
      <c r="S296" s="145">
        <f t="shared" ref="S296" si="304">+S297+S298</f>
        <v>28056000</v>
      </c>
    </row>
    <row r="297" spans="1:19" ht="45" x14ac:dyDescent="0.25">
      <c r="A297" s="1" t="s">
        <v>320</v>
      </c>
      <c r="C297" s="179" t="s">
        <v>367</v>
      </c>
      <c r="D297" s="179" t="s">
        <v>295</v>
      </c>
      <c r="E297" s="180"/>
      <c r="F297" s="145">
        <f t="shared" ref="F297" si="305">+F298+F299</f>
        <v>14056000</v>
      </c>
      <c r="G297" s="180"/>
      <c r="H297" s="180"/>
      <c r="I297" s="180">
        <f>+E297-G297+H297</f>
        <v>0</v>
      </c>
      <c r="J297" s="180"/>
      <c r="K297" s="180">
        <v>14056000</v>
      </c>
      <c r="L297" s="180">
        <f>+I297+K297-J297</f>
        <v>14056000</v>
      </c>
      <c r="M297" s="180"/>
      <c r="N297" s="180"/>
      <c r="O297" s="180">
        <f>+L297+N297-M297</f>
        <v>14056000</v>
      </c>
      <c r="P297" s="180"/>
      <c r="Q297" s="180">
        <v>-14056000</v>
      </c>
      <c r="R297" s="180">
        <f>+O297+Q297-P297</f>
        <v>0</v>
      </c>
      <c r="S297" s="180">
        <f t="shared" ref="S297:S298" si="306">+F297-R297</f>
        <v>14056000</v>
      </c>
    </row>
    <row r="298" spans="1:19" ht="30" x14ac:dyDescent="0.25">
      <c r="A298" s="1" t="s">
        <v>320</v>
      </c>
      <c r="C298" s="179" t="s">
        <v>416</v>
      </c>
      <c r="D298" s="179" t="s">
        <v>258</v>
      </c>
      <c r="E298" s="180"/>
      <c r="F298" s="180">
        <f>+E298+H298+K298+N298+Q298</f>
        <v>14056000</v>
      </c>
      <c r="G298" s="180"/>
      <c r="H298" s="180"/>
      <c r="I298" s="180">
        <f>+E298-G298+H298</f>
        <v>0</v>
      </c>
      <c r="J298" s="180"/>
      <c r="K298" s="180"/>
      <c r="L298" s="180">
        <f>+I298+K298-J298</f>
        <v>0</v>
      </c>
      <c r="M298" s="180"/>
      <c r="N298" s="180"/>
      <c r="O298" s="180">
        <f>+L298+N298-M298</f>
        <v>0</v>
      </c>
      <c r="P298" s="180">
        <f>14000000</f>
        <v>14000000</v>
      </c>
      <c r="Q298" s="180">
        <v>14056000</v>
      </c>
      <c r="R298" s="180">
        <f>+O298+Q298-P298</f>
        <v>56000</v>
      </c>
      <c r="S298" s="180">
        <f t="shared" si="306"/>
        <v>14000000</v>
      </c>
    </row>
    <row r="299" spans="1:19" ht="15.75" x14ac:dyDescent="0.25">
      <c r="C299" s="71"/>
      <c r="D299" s="72"/>
      <c r="E299" s="70"/>
      <c r="F299" s="70"/>
      <c r="G299" s="120"/>
      <c r="H299" s="70"/>
      <c r="I299" s="11"/>
      <c r="J299" s="149"/>
      <c r="K299" s="11"/>
      <c r="L299" s="11">
        <f>266676000+45000000</f>
        <v>311676000</v>
      </c>
      <c r="M299" s="68"/>
      <c r="N299" s="191"/>
      <c r="O299" s="68"/>
      <c r="P299" s="68"/>
      <c r="Q299" s="68"/>
      <c r="R299" s="68"/>
      <c r="S299" s="68"/>
    </row>
    <row r="300" spans="1:19" ht="15.75" x14ac:dyDescent="0.25">
      <c r="C300" s="217" t="s">
        <v>301</v>
      </c>
      <c r="D300" s="79" t="s">
        <v>297</v>
      </c>
      <c r="E300" s="80">
        <f>128699956913.957-1180.44</f>
        <v>128699955733.517</v>
      </c>
      <c r="F300" s="124"/>
      <c r="L300" s="11">
        <f>+L299-L298</f>
        <v>311676000</v>
      </c>
      <c r="N300" s="191"/>
      <c r="P300" s="86"/>
    </row>
    <row r="301" spans="1:19" x14ac:dyDescent="0.25">
      <c r="C301" s="218"/>
      <c r="D301" s="81" t="s">
        <v>298</v>
      </c>
      <c r="E301" s="80">
        <v>615413069.97500002</v>
      </c>
      <c r="F301" s="8"/>
      <c r="N301" s="4"/>
    </row>
    <row r="302" spans="1:19" x14ac:dyDescent="0.25">
      <c r="C302" s="218"/>
      <c r="D302" s="82" t="s">
        <v>296</v>
      </c>
      <c r="E302" s="80">
        <v>3912224574.0535712</v>
      </c>
    </row>
    <row r="303" spans="1:19" x14ac:dyDescent="0.25">
      <c r="C303" s="218"/>
      <c r="D303" s="83" t="s">
        <v>299</v>
      </c>
      <c r="E303" s="80">
        <v>4947788622.4500008</v>
      </c>
      <c r="F303" s="73"/>
      <c r="G303" s="121"/>
      <c r="H303" s="73"/>
      <c r="I303" s="73"/>
      <c r="J303" s="149"/>
      <c r="K303" s="121"/>
      <c r="L303" s="121">
        <f>+L199+L200+L210+L285+L286</f>
        <v>1813829.1</v>
      </c>
      <c r="M303" s="73"/>
      <c r="N303" s="69"/>
      <c r="O303" s="73"/>
      <c r="P303" s="73"/>
      <c r="Q303" s="73"/>
      <c r="R303" s="69"/>
      <c r="S303" s="69"/>
    </row>
    <row r="304" spans="1:19" x14ac:dyDescent="0.25">
      <c r="C304" s="219"/>
      <c r="D304" s="84" t="s">
        <v>300</v>
      </c>
      <c r="E304" s="85">
        <f>SUM(E300:E303)</f>
        <v>138175381999.99557</v>
      </c>
      <c r="F304" s="74"/>
      <c r="G304" s="75"/>
      <c r="H304" s="74"/>
      <c r="I304" s="75"/>
      <c r="J304" s="149"/>
      <c r="K304" s="120"/>
      <c r="L304" s="120"/>
      <c r="M304" s="76"/>
      <c r="N304" s="69"/>
      <c r="O304" s="74"/>
      <c r="P304" s="74"/>
      <c r="Q304" s="74"/>
      <c r="R304" s="69"/>
      <c r="S304" s="69"/>
    </row>
    <row r="305" spans="6:19" x14ac:dyDescent="0.25">
      <c r="F305" s="4"/>
      <c r="H305" s="1">
        <f>9+5</f>
        <v>14</v>
      </c>
    </row>
    <row r="306" spans="6:19" x14ac:dyDescent="0.25">
      <c r="F306" s="8"/>
      <c r="I306" s="140"/>
      <c r="R306" s="4"/>
      <c r="S306" s="4"/>
    </row>
    <row r="309" spans="6:19" x14ac:dyDescent="0.25">
      <c r="H309" s="4"/>
    </row>
    <row r="314" spans="6:19" x14ac:dyDescent="0.25">
      <c r="H314" s="4"/>
    </row>
    <row r="315" spans="6:19" x14ac:dyDescent="0.25">
      <c r="H315" s="4"/>
    </row>
  </sheetData>
  <autoFilter ref="A4:R304"/>
  <mergeCells count="2">
    <mergeCell ref="C300:C304"/>
    <mergeCell ref="C3:D3"/>
  </mergeCells>
  <pageMargins left="1.299212598425197" right="0.70866141732283472" top="0.74803149606299213" bottom="0.74803149606299213" header="0.31496062992125984" footer="0.31496062992125984"/>
  <pageSetup orientation="portrait" r:id="rId1"/>
  <ignoredErrors>
    <ignoredError sqref="F292 I292 R55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karla</cp:lastModifiedBy>
  <cp:lastPrinted>2014-12-15T21:36:48Z</cp:lastPrinted>
  <dcterms:created xsi:type="dcterms:W3CDTF">2013-12-11T17:09:42Z</dcterms:created>
  <dcterms:modified xsi:type="dcterms:W3CDTF">2014-12-22T22:03:12Z</dcterms:modified>
</cp:coreProperties>
</file>